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4618CFBF-9CD4-4C57-A9B4-1719883574CD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تنظیمات" sheetId="13" r:id="rId1"/>
    <sheet name="برنامه فروردین" sheetId="7" r:id="rId2"/>
    <sheet name="برنامه شیفت" sheetId="16" r:id="rId3"/>
    <sheet name="کارکرد " sheetId="1" r:id="rId4"/>
    <sheet name="مبالغ" sheetId="17" r:id="rId5"/>
    <sheet name="دیتا" sheetId="12" r:id="rId6"/>
    <sheet name="دیتا 2" sheetId="5" r:id="rId7"/>
  </sheets>
  <definedNames>
    <definedName name="_xlnm.Print_Area" localSheetId="2">'برنامه شیفت'!$A$1:$AE$51</definedName>
    <definedName name="_xlnm.Print_Area" localSheetId="1">'برنامه فروردین'!$D$1:$AQ$29</definedName>
    <definedName name="_xlnm.Print_Area" localSheetId="0">تنظیمات!$A$1:$Q$35</definedName>
    <definedName name="_xlnm.Print_Area" localSheetId="3">'کارکرد '!$A$1:$R$35</definedName>
    <definedName name="_xlnm.Print_Area" localSheetId="4">مبالغ!$C$1:$O$35</definedName>
    <definedName name="_xlnm.Print_Titles" localSheetId="1">'برنامه فروردین'!$A:$B,'برنامه فروردین'!$36:$37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6" l="1"/>
  <c r="U8" i="13"/>
  <c r="T1" i="13"/>
  <c r="N33" i="17"/>
  <c r="L33" i="17"/>
  <c r="I33" i="17"/>
  <c r="G33" i="17"/>
  <c r="E33" i="17"/>
  <c r="D33" i="17"/>
  <c r="F3" i="17"/>
  <c r="K34" i="1"/>
  <c r="F34" i="1"/>
  <c r="A34" i="1"/>
  <c r="E47" i="16"/>
  <c r="U47" i="16"/>
  <c r="C37" i="7"/>
  <c r="AA37" i="7"/>
  <c r="R3" i="12"/>
  <c r="R4" i="12"/>
  <c r="R5" i="12"/>
  <c r="R6" i="12"/>
  <c r="R7" i="12"/>
  <c r="R8" i="12"/>
  <c r="R9" i="12"/>
  <c r="R10" i="12"/>
  <c r="R11" i="12"/>
  <c r="R12" i="12"/>
  <c r="R13" i="12"/>
  <c r="R14" i="12"/>
  <c r="R15" i="12"/>
  <c r="R16" i="12"/>
  <c r="R17" i="12"/>
  <c r="R18" i="12"/>
  <c r="R19" i="12"/>
  <c r="R20" i="12"/>
  <c r="R21" i="12"/>
  <c r="R22" i="12"/>
  <c r="R23" i="12"/>
  <c r="R24" i="12"/>
  <c r="R25" i="12"/>
  <c r="R26" i="12"/>
  <c r="R27" i="12"/>
  <c r="R28" i="12"/>
  <c r="R29" i="12"/>
  <c r="R30" i="12"/>
  <c r="R31" i="12"/>
  <c r="R32" i="12"/>
  <c r="R33" i="12"/>
  <c r="R34" i="12"/>
  <c r="R35" i="12"/>
  <c r="R36" i="12"/>
  <c r="R37" i="12"/>
  <c r="R2" i="12"/>
  <c r="Q3" i="12"/>
  <c r="Q4" i="12"/>
  <c r="Q5" i="12"/>
  <c r="Q6" i="12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S23" i="12" s="1"/>
  <c r="Q24" i="12"/>
  <c r="Q25" i="12"/>
  <c r="Q26" i="12"/>
  <c r="Q27" i="12"/>
  <c r="S27" i="12" s="1"/>
  <c r="Q28" i="12"/>
  <c r="S28" i="12" s="1"/>
  <c r="Q29" i="12"/>
  <c r="S29" i="12" s="1"/>
  <c r="Q30" i="12"/>
  <c r="S30" i="12" s="1"/>
  <c r="Q31" i="12"/>
  <c r="S31" i="12" s="1"/>
  <c r="Q32" i="12"/>
  <c r="S32" i="12" s="1"/>
  <c r="Q33" i="12"/>
  <c r="S33" i="12" s="1"/>
  <c r="Q34" i="12"/>
  <c r="S34" i="12" s="1"/>
  <c r="Q35" i="12"/>
  <c r="S35" i="12" s="1"/>
  <c r="Q36" i="12"/>
  <c r="S36" i="12" s="1"/>
  <c r="Q37" i="12"/>
  <c r="S37" i="12" s="1"/>
  <c r="Q2" i="12"/>
  <c r="S1" i="7"/>
  <c r="O5" i="1" a="1"/>
  <c r="O5" i="1" s="1"/>
  <c r="O6" i="1" a="1"/>
  <c r="O6" i="1" s="1"/>
  <c r="O7" i="1" a="1"/>
  <c r="O7" i="1" s="1"/>
  <c r="O8" i="1" a="1"/>
  <c r="O8" i="1" s="1"/>
  <c r="O9" i="1" a="1"/>
  <c r="O9" i="1" s="1"/>
  <c r="O10" i="1" a="1"/>
  <c r="O10" i="1" s="1"/>
  <c r="O11" i="1" a="1"/>
  <c r="O11" i="1" s="1"/>
  <c r="O12" i="1" a="1"/>
  <c r="O12" i="1" s="1"/>
  <c r="O13" i="1" a="1"/>
  <c r="O13" i="1" s="1"/>
  <c r="O14" i="1" a="1"/>
  <c r="O14" i="1" s="1"/>
  <c r="O15" i="1" a="1"/>
  <c r="O15" i="1" s="1"/>
  <c r="O16" i="1" a="1"/>
  <c r="O16" i="1" s="1"/>
  <c r="O17" i="1" a="1"/>
  <c r="O17" i="1" s="1"/>
  <c r="O18" i="1" a="1"/>
  <c r="O18" i="1" s="1"/>
  <c r="O19" i="1" a="1"/>
  <c r="O19" i="1" s="1"/>
  <c r="O20" i="1" a="1"/>
  <c r="O20" i="1" s="1"/>
  <c r="O21" i="1" a="1"/>
  <c r="O21" i="1" s="1"/>
  <c r="O22" i="1" a="1"/>
  <c r="O22" i="1" s="1"/>
  <c r="O23" i="1" a="1"/>
  <c r="O23" i="1" s="1"/>
  <c r="O24" i="1" a="1"/>
  <c r="O24" i="1" s="1"/>
  <c r="O25" i="1" a="1"/>
  <c r="O25" i="1" s="1"/>
  <c r="O26" i="1" a="1"/>
  <c r="O26" i="1" s="1"/>
  <c r="O27" i="1" a="1"/>
  <c r="O27" i="1" s="1"/>
  <c r="O28" i="1" a="1"/>
  <c r="O28" i="1" s="1"/>
  <c r="O4" i="1" a="1"/>
  <c r="O4" i="1" s="1"/>
  <c r="N5" i="1" a="1"/>
  <c r="N5" i="1" s="1"/>
  <c r="N6" i="1" a="1"/>
  <c r="N6" i="1" s="1"/>
  <c r="N7" i="1" a="1"/>
  <c r="N7" i="1" s="1"/>
  <c r="N8" i="1" a="1"/>
  <c r="N8" i="1" s="1"/>
  <c r="N9" i="1" a="1"/>
  <c r="N9" i="1" s="1"/>
  <c r="N10" i="1" a="1"/>
  <c r="N10" i="1" s="1"/>
  <c r="N11" i="1" a="1"/>
  <c r="N11" i="1" s="1"/>
  <c r="N12" i="1" a="1"/>
  <c r="N12" i="1" s="1"/>
  <c r="N13" i="1" a="1"/>
  <c r="N13" i="1" s="1"/>
  <c r="N14" i="1" a="1"/>
  <c r="N14" i="1" s="1"/>
  <c r="N15" i="1" a="1"/>
  <c r="N15" i="1" s="1"/>
  <c r="N16" i="1" a="1"/>
  <c r="N16" i="1" s="1"/>
  <c r="N17" i="1" a="1"/>
  <c r="N17" i="1" s="1"/>
  <c r="N18" i="1" a="1"/>
  <c r="N18" i="1" s="1"/>
  <c r="N19" i="1" a="1"/>
  <c r="N19" i="1" s="1"/>
  <c r="N20" i="1" a="1"/>
  <c r="N20" i="1" s="1"/>
  <c r="N21" i="1" a="1"/>
  <c r="N21" i="1" s="1"/>
  <c r="N22" i="1" a="1"/>
  <c r="N22" i="1" s="1"/>
  <c r="N23" i="1" a="1"/>
  <c r="N23" i="1" s="1"/>
  <c r="N24" i="1" a="1"/>
  <c r="N24" i="1" s="1"/>
  <c r="N25" i="1" a="1"/>
  <c r="N25" i="1" s="1"/>
  <c r="N26" i="1" a="1"/>
  <c r="N26" i="1" s="1"/>
  <c r="N27" i="1" a="1"/>
  <c r="N27" i="1" s="1"/>
  <c r="N28" i="1" a="1"/>
  <c r="N28" i="1" s="1"/>
  <c r="N4" i="1" a="1"/>
  <c r="N4" i="1" s="1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G34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G32" i="7"/>
  <c r="AN6" i="7"/>
  <c r="AN7" i="7"/>
  <c r="P6" i="1" s="1"/>
  <c r="AN8" i="7"/>
  <c r="AN9" i="7"/>
  <c r="P8" i="1" s="1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N25" i="7"/>
  <c r="AN26" i="7"/>
  <c r="AN27" i="7"/>
  <c r="AN28" i="7"/>
  <c r="AN29" i="7"/>
  <c r="AN5" i="7"/>
  <c r="P4" i="1" s="1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M25" i="7"/>
  <c r="AM26" i="7"/>
  <c r="AM27" i="7"/>
  <c r="AM28" i="7"/>
  <c r="AM29" i="7"/>
  <c r="AM5" i="7"/>
  <c r="L4" i="1"/>
  <c r="M4" i="1"/>
  <c r="N27" i="12"/>
  <c r="N28" i="12"/>
  <c r="N29" i="12"/>
  <c r="N30" i="12"/>
  <c r="N31" i="12"/>
  <c r="N32" i="12"/>
  <c r="N33" i="12"/>
  <c r="N34" i="12"/>
  <c r="N35" i="12"/>
  <c r="N36" i="12"/>
  <c r="N37" i="12"/>
  <c r="M3" i="12"/>
  <c r="M4" i="12"/>
  <c r="M5" i="12"/>
  <c r="M6" i="12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2" i="12"/>
  <c r="L3" i="12"/>
  <c r="L4" i="12"/>
  <c r="J9" i="12" s="1"/>
  <c r="L5" i="12"/>
  <c r="L6" i="12"/>
  <c r="J6" i="12" s="1"/>
  <c r="L7" i="12"/>
  <c r="L8" i="12"/>
  <c r="L9" i="12"/>
  <c r="L10" i="12"/>
  <c r="J10" i="12" s="1"/>
  <c r="L11" i="12"/>
  <c r="L12" i="12"/>
  <c r="J12" i="12" s="1"/>
  <c r="L13" i="12"/>
  <c r="L14" i="12"/>
  <c r="L15" i="12"/>
  <c r="L16" i="12"/>
  <c r="L17" i="12"/>
  <c r="L18" i="12"/>
  <c r="L19" i="12"/>
  <c r="L20" i="12"/>
  <c r="L21" i="12"/>
  <c r="L22" i="12"/>
  <c r="L23" i="12"/>
  <c r="L24" i="12"/>
  <c r="J24" i="12" s="1"/>
  <c r="L25" i="12"/>
  <c r="L26" i="12"/>
  <c r="J26" i="12" s="1"/>
  <c r="L2" i="12"/>
  <c r="K3" i="12"/>
  <c r="K4" i="12"/>
  <c r="K5" i="12"/>
  <c r="P5" i="12" s="1"/>
  <c r="K6" i="12"/>
  <c r="N6" i="12" s="1"/>
  <c r="K7" i="12"/>
  <c r="K8" i="12"/>
  <c r="O8" i="12" s="1"/>
  <c r="K9" i="12"/>
  <c r="O9" i="12" s="1"/>
  <c r="K10" i="12"/>
  <c r="P10" i="12" s="1"/>
  <c r="K11" i="12"/>
  <c r="P11" i="12" s="1"/>
  <c r="K12" i="12"/>
  <c r="P12" i="12"/>
  <c r="K13" i="12"/>
  <c r="P13" i="12"/>
  <c r="K14" i="12"/>
  <c r="K15" i="12"/>
  <c r="K16" i="12"/>
  <c r="K17" i="12"/>
  <c r="K18" i="12"/>
  <c r="K19" i="12"/>
  <c r="P19" i="12" s="1"/>
  <c r="K20" i="12"/>
  <c r="K21" i="12"/>
  <c r="K22" i="12"/>
  <c r="K23" i="12"/>
  <c r="N23" i="12"/>
  <c r="K24" i="12"/>
  <c r="P24" i="12"/>
  <c r="K25" i="12"/>
  <c r="O25" i="12"/>
  <c r="K26" i="12"/>
  <c r="P26" i="12"/>
  <c r="K2" i="12"/>
  <c r="S26" i="12"/>
  <c r="S25" i="12"/>
  <c r="S24" i="12"/>
  <c r="S14" i="12"/>
  <c r="S21" i="12"/>
  <c r="S13" i="12"/>
  <c r="S19" i="12"/>
  <c r="S15" i="12"/>
  <c r="S6" i="12"/>
  <c r="O23" i="12"/>
  <c r="N24" i="12"/>
  <c r="O24" i="12"/>
  <c r="O16" i="12"/>
  <c r="P25" i="12"/>
  <c r="N2" i="12"/>
  <c r="N14" i="12"/>
  <c r="N5" i="12"/>
  <c r="O14" i="12"/>
  <c r="O6" i="12"/>
  <c r="P23" i="12"/>
  <c r="N13" i="12"/>
  <c r="O21" i="12"/>
  <c r="O13" i="12"/>
  <c r="O5" i="12"/>
  <c r="S5" i="12"/>
  <c r="P14" i="12"/>
  <c r="P6" i="12"/>
  <c r="O12" i="12"/>
  <c r="N19" i="12"/>
  <c r="O2" i="12"/>
  <c r="O19" i="12"/>
  <c r="N26" i="12"/>
  <c r="S9" i="12"/>
  <c r="O26" i="12"/>
  <c r="P2" i="12"/>
  <c r="N25" i="12"/>
  <c r="J25" i="12"/>
  <c r="J11" i="12"/>
  <c r="J22" i="12"/>
  <c r="S2" i="12"/>
  <c r="H2" i="1"/>
  <c r="B2" i="1"/>
  <c r="Y1" i="7"/>
  <c r="AI1" i="7"/>
  <c r="L2" i="1" s="1"/>
  <c r="A1" i="7"/>
  <c r="AG30" i="7"/>
  <c r="G30" i="7"/>
  <c r="AP29" i="7"/>
  <c r="AO29" i="7"/>
  <c r="AL29" i="7"/>
  <c r="AP28" i="7"/>
  <c r="AO28" i="7"/>
  <c r="AL28" i="7"/>
  <c r="AP27" i="7"/>
  <c r="AO27" i="7"/>
  <c r="AL27" i="7"/>
  <c r="AP26" i="7"/>
  <c r="AO26" i="7"/>
  <c r="AL26" i="7"/>
  <c r="AP25" i="7"/>
  <c r="AO25" i="7"/>
  <c r="AL25" i="7"/>
  <c r="AP24" i="7"/>
  <c r="AO24" i="7"/>
  <c r="AL24" i="7"/>
  <c r="AP23" i="7"/>
  <c r="AO23" i="7"/>
  <c r="AL23" i="7"/>
  <c r="AP22" i="7"/>
  <c r="AO22" i="7"/>
  <c r="AL22" i="7"/>
  <c r="AP21" i="7"/>
  <c r="AO21" i="7"/>
  <c r="AL21" i="7"/>
  <c r="AP20" i="7"/>
  <c r="AO20" i="7"/>
  <c r="AL20" i="7"/>
  <c r="AP19" i="7"/>
  <c r="AO19" i="7"/>
  <c r="AL19" i="7"/>
  <c r="AP18" i="7"/>
  <c r="AO18" i="7"/>
  <c r="AL18" i="7"/>
  <c r="AP17" i="7"/>
  <c r="AO17" i="7"/>
  <c r="AL17" i="7"/>
  <c r="AP16" i="7"/>
  <c r="AO16" i="7"/>
  <c r="AL16" i="7"/>
  <c r="AP15" i="7"/>
  <c r="AO15" i="7"/>
  <c r="AL15" i="7"/>
  <c r="AP14" i="7"/>
  <c r="AO14" i="7"/>
  <c r="AL14" i="7"/>
  <c r="AP13" i="7"/>
  <c r="AO13" i="7"/>
  <c r="AL13" i="7"/>
  <c r="AP12" i="7"/>
  <c r="AO12" i="7"/>
  <c r="AL12" i="7"/>
  <c r="AP11" i="7"/>
  <c r="AO11" i="7"/>
  <c r="AL11" i="7"/>
  <c r="AP10" i="7"/>
  <c r="AO10" i="7"/>
  <c r="AL10" i="7"/>
  <c r="AP9" i="7"/>
  <c r="AO9" i="7"/>
  <c r="K8" i="1" s="1"/>
  <c r="AL9" i="7"/>
  <c r="AQ9" i="7" s="1"/>
  <c r="AP8" i="7"/>
  <c r="AO8" i="7"/>
  <c r="AL8" i="7"/>
  <c r="AP7" i="7"/>
  <c r="AO7" i="7"/>
  <c r="K6" i="1" s="1"/>
  <c r="AL7" i="7"/>
  <c r="AQ7" i="7" s="1"/>
  <c r="AP6" i="7"/>
  <c r="AO6" i="7"/>
  <c r="AL6" i="7"/>
  <c r="AP5" i="7"/>
  <c r="AO5" i="7"/>
  <c r="K4" i="1"/>
  <c r="AL5" i="7"/>
  <c r="O2" i="1"/>
  <c r="V5" i="5"/>
  <c r="V1" i="7"/>
  <c r="G2" i="7" s="1"/>
  <c r="H30" i="7"/>
  <c r="I30" i="7"/>
  <c r="J30" i="7"/>
  <c r="K30" i="7"/>
  <c r="L30" i="7"/>
  <c r="M30" i="7"/>
  <c r="N30" i="7"/>
  <c r="F5" i="7"/>
  <c r="C4" i="1" s="1"/>
  <c r="H4" i="1" s="1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C30" i="7"/>
  <c r="AD30" i="7"/>
  <c r="AE30" i="7"/>
  <c r="AF30" i="7"/>
  <c r="AH30" i="7"/>
  <c r="AI30" i="7"/>
  <c r="AJ30" i="7"/>
  <c r="AK30" i="7"/>
  <c r="U1" i="5"/>
  <c r="X1" i="5" s="1"/>
  <c r="Y1" i="5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Q4" i="1"/>
  <c r="Q5" i="1" s="1"/>
  <c r="Q6" i="1" s="1"/>
  <c r="Q7" i="1" s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3" i="5"/>
  <c r="Q4" i="5"/>
  <c r="Q5" i="5"/>
  <c r="Q6" i="5" s="1"/>
  <c r="Q7" i="5" s="1"/>
  <c r="Q8" i="5" s="1"/>
  <c r="Q9" i="5"/>
  <c r="Q10" i="5" s="1"/>
  <c r="Q11" i="5" s="1"/>
  <c r="Q12" i="5" s="1"/>
  <c r="Q13" i="5"/>
  <c r="Q14" i="5" s="1"/>
  <c r="Q15" i="5" s="1"/>
  <c r="Q16" i="5" s="1"/>
  <c r="Q17" i="5" s="1"/>
  <c r="Q18" i="5" s="1"/>
  <c r="Q19" i="5" s="1"/>
  <c r="Q20" i="5" s="1"/>
  <c r="Q21" i="5" s="1"/>
  <c r="Q22" i="5" s="1"/>
  <c r="Q23" i="5" s="1"/>
  <c r="Q24" i="5" s="1"/>
  <c r="Q25" i="5" s="1"/>
  <c r="Q26" i="5" s="1"/>
  <c r="Q27" i="5" s="1"/>
  <c r="Q28" i="5" s="1"/>
  <c r="Q29" i="5" s="1"/>
  <c r="Q30" i="5" s="1"/>
  <c r="Q31" i="5" s="1"/>
  <c r="Q32" i="5" s="1"/>
  <c r="Q33" i="5" s="1"/>
  <c r="Q34" i="5" s="1"/>
  <c r="Q35" i="5" s="1"/>
  <c r="Q36" i="5" s="1"/>
  <c r="Q37" i="5" s="1"/>
  <c r="Q38" i="5" s="1"/>
  <c r="Q39" i="5" s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K5" i="1"/>
  <c r="K7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P5" i="1"/>
  <c r="P7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J4" i="1"/>
  <c r="AQ29" i="7"/>
  <c r="AQ27" i="7"/>
  <c r="AQ25" i="7"/>
  <c r="AQ23" i="7"/>
  <c r="AQ21" i="7"/>
  <c r="AQ19" i="7"/>
  <c r="AQ17" i="7"/>
  <c r="AQ15" i="7"/>
  <c r="AQ13" i="7"/>
  <c r="AQ11" i="7"/>
  <c r="AQ28" i="7"/>
  <c r="AQ26" i="7"/>
  <c r="AQ24" i="7"/>
  <c r="AQ22" i="7"/>
  <c r="AQ20" i="7"/>
  <c r="AQ18" i="7"/>
  <c r="AQ16" i="7"/>
  <c r="AQ14" i="7"/>
  <c r="AQ12" i="7"/>
  <c r="AQ10" i="7"/>
  <c r="AQ8" i="7"/>
  <c r="AQ6" i="7"/>
  <c r="AQ5" i="7"/>
  <c r="J1" i="5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2" i="5"/>
  <c r="I29" i="1"/>
  <c r="J29" i="1"/>
  <c r="O29" i="1" l="1"/>
  <c r="P29" i="1"/>
  <c r="M29" i="1"/>
  <c r="L29" i="1"/>
  <c r="V7" i="16"/>
  <c r="G4" i="17" s="1"/>
  <c r="H2" i="7"/>
  <c r="I2" i="7" s="1"/>
  <c r="J2" i="7" s="1"/>
  <c r="K2" i="7" s="1"/>
  <c r="L2" i="7" s="1"/>
  <c r="M2" i="7" s="1"/>
  <c r="N2" i="7" s="1"/>
  <c r="O2" i="7" s="1"/>
  <c r="P2" i="7" s="1"/>
  <c r="Q2" i="7" s="1"/>
  <c r="R2" i="7" s="1"/>
  <c r="S2" i="7" s="1"/>
  <c r="T2" i="7" s="1"/>
  <c r="U2" i="7" s="1"/>
  <c r="V2" i="7" s="1"/>
  <c r="W2" i="7" s="1"/>
  <c r="X2" i="7" s="1"/>
  <c r="Y2" i="7" s="1"/>
  <c r="Z2" i="7" s="1"/>
  <c r="AA2" i="7" s="1"/>
  <c r="AB2" i="7" s="1"/>
  <c r="AC2" i="7" s="1"/>
  <c r="AD2" i="7" s="1"/>
  <c r="AE2" i="7" s="1"/>
  <c r="AF2" i="7" s="1"/>
  <c r="AG2" i="7" s="1"/>
  <c r="AH2" i="7" s="1"/>
  <c r="AI2" i="7" s="1"/>
  <c r="AJ2" i="7" s="1"/>
  <c r="AK2" i="7" s="1"/>
  <c r="O11" i="12"/>
  <c r="N11" i="12"/>
  <c r="S11" i="12" s="1"/>
  <c r="O10" i="12"/>
  <c r="N9" i="12"/>
  <c r="N12" i="12"/>
  <c r="S12" i="12" s="1"/>
  <c r="N10" i="12"/>
  <c r="S10" i="12" s="1"/>
  <c r="P9" i="12"/>
  <c r="P8" i="12"/>
  <c r="S8" i="12" s="1"/>
  <c r="N8" i="12"/>
  <c r="E5" i="7"/>
  <c r="D4" i="1"/>
  <c r="G4" i="1"/>
  <c r="F4" i="1"/>
  <c r="K29" i="1"/>
  <c r="O22" i="12"/>
  <c r="S22" i="12"/>
  <c r="P18" i="12"/>
  <c r="S18" i="12"/>
  <c r="N18" i="12"/>
  <c r="O18" i="12"/>
  <c r="P7" i="12"/>
  <c r="O7" i="12"/>
  <c r="N7" i="12"/>
  <c r="P3" i="12"/>
  <c r="O3" i="12"/>
  <c r="P22" i="12"/>
  <c r="N22" i="12"/>
  <c r="N3" i="12"/>
  <c r="S3" i="12" s="1"/>
  <c r="J5" i="12"/>
  <c r="N15" i="12"/>
  <c r="P15" i="12"/>
  <c r="O15" i="12"/>
  <c r="N4" i="12"/>
  <c r="S4" i="12" s="1"/>
  <c r="P4" i="12"/>
  <c r="O4" i="12"/>
  <c r="N29" i="1"/>
  <c r="J20" i="12"/>
  <c r="J16" i="12"/>
  <c r="J8" i="12"/>
  <c r="J17" i="12"/>
  <c r="J13" i="12"/>
  <c r="J4" i="12"/>
  <c r="J3" i="12"/>
  <c r="J23" i="12"/>
  <c r="J7" i="12"/>
  <c r="C5" i="7"/>
  <c r="E6" i="17" s="1"/>
  <c r="B5" i="7"/>
  <c r="G6" i="17" s="1"/>
  <c r="D6" i="17"/>
  <c r="H6" i="17" s="1"/>
  <c r="D5" i="7"/>
  <c r="C11" i="16"/>
  <c r="J19" i="12"/>
  <c r="P21" i="12"/>
  <c r="N21" i="12"/>
  <c r="O17" i="12"/>
  <c r="S17" i="12"/>
  <c r="P17" i="12"/>
  <c r="S7" i="12"/>
  <c r="J21" i="12"/>
  <c r="J15" i="12"/>
  <c r="S20" i="12"/>
  <c r="N20" i="12"/>
  <c r="O20" i="12"/>
  <c r="P20" i="12"/>
  <c r="N16" i="12"/>
  <c r="P16" i="12"/>
  <c r="S16" i="12"/>
  <c r="J18" i="12"/>
  <c r="J14" i="12"/>
  <c r="C12" i="16" l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C32" i="16" s="1"/>
  <c r="C33" i="16" s="1"/>
  <c r="C34" i="16" s="1"/>
  <c r="C35" i="16" s="1"/>
  <c r="C36" i="16" s="1"/>
  <c r="C37" i="16" s="1"/>
  <c r="C38" i="16" s="1"/>
  <c r="C39" i="16" s="1"/>
  <c r="C40" i="16" s="1"/>
  <c r="C41" i="16" s="1"/>
  <c r="F6" i="17"/>
  <c r="F19" i="7"/>
  <c r="F29" i="7"/>
  <c r="F7" i="7"/>
  <c r="F23" i="7"/>
  <c r="F26" i="7"/>
  <c r="F20" i="7"/>
  <c r="F13" i="7"/>
  <c r="F14" i="7"/>
  <c r="F24" i="7"/>
  <c r="F9" i="7"/>
  <c r="F25" i="7"/>
  <c r="F10" i="7"/>
  <c r="F28" i="7"/>
  <c r="F22" i="7"/>
  <c r="F8" i="7"/>
  <c r="F18" i="7"/>
  <c r="F12" i="7"/>
  <c r="F21" i="7"/>
  <c r="F27" i="7"/>
  <c r="F16" i="7"/>
  <c r="F17" i="7"/>
  <c r="F11" i="7"/>
  <c r="F6" i="7"/>
  <c r="F15" i="7"/>
  <c r="I6" i="17"/>
  <c r="E4" i="1"/>
  <c r="K6" i="17" s="1"/>
  <c r="N6" i="17" s="1"/>
  <c r="J6" i="17"/>
  <c r="M6" i="17" l="1"/>
  <c r="O6" i="17" s="1"/>
  <c r="W13" i="12"/>
  <c r="B16" i="7"/>
  <c r="G17" i="17" s="1"/>
  <c r="D16" i="7"/>
  <c r="D17" i="17"/>
  <c r="H17" i="17" s="1"/>
  <c r="E16" i="7"/>
  <c r="C16" i="7"/>
  <c r="E17" i="17" s="1"/>
  <c r="C15" i="1"/>
  <c r="H15" i="1" s="1"/>
  <c r="B10" i="7"/>
  <c r="G11" i="17" s="1"/>
  <c r="D10" i="7"/>
  <c r="D11" i="17"/>
  <c r="H11" i="17" s="1"/>
  <c r="E10" i="7"/>
  <c r="C9" i="1"/>
  <c r="H9" i="1" s="1"/>
  <c r="C10" i="7"/>
  <c r="E11" i="17" s="1"/>
  <c r="D24" i="17"/>
  <c r="H24" i="17" s="1"/>
  <c r="D23" i="7"/>
  <c r="B23" i="7"/>
  <c r="G24" i="17" s="1"/>
  <c r="C23" i="7"/>
  <c r="E24" i="17" s="1"/>
  <c r="W20" i="12"/>
  <c r="E23" i="7"/>
  <c r="C22" i="1"/>
  <c r="H22" i="1" s="1"/>
  <c r="D7" i="17"/>
  <c r="H7" i="17" s="1"/>
  <c r="F16" i="16" a="1"/>
  <c r="F16" i="16" s="1"/>
  <c r="N34" i="16" a="1"/>
  <c r="N34" i="16" s="1"/>
  <c r="N15" i="16" a="1"/>
  <c r="N15" i="16" s="1"/>
  <c r="N31" i="16" a="1"/>
  <c r="N31" i="16" s="1"/>
  <c r="N33" i="16" a="1"/>
  <c r="N33" i="16" s="1"/>
  <c r="V36" i="16" a="1"/>
  <c r="V36" i="16" s="1"/>
  <c r="F39" i="16" a="1"/>
  <c r="F39" i="16" s="1"/>
  <c r="V21" i="16" a="1"/>
  <c r="V21" i="16" s="1"/>
  <c r="F12" i="16" a="1"/>
  <c r="F12" i="16" s="1"/>
  <c r="N24" i="16" a="1"/>
  <c r="N24" i="16" s="1"/>
  <c r="V11" i="16" a="1"/>
  <c r="V11" i="16" s="1"/>
  <c r="N20" i="16" a="1"/>
  <c r="N20" i="16" s="1"/>
  <c r="V33" i="16" a="1"/>
  <c r="V33" i="16" s="1"/>
  <c r="N27" i="16" a="1"/>
  <c r="N27" i="16" s="1"/>
  <c r="F25" i="16" a="1"/>
  <c r="F25" i="16" s="1"/>
  <c r="F18" i="16" a="1"/>
  <c r="F18" i="16" s="1"/>
  <c r="F20" i="16" a="1"/>
  <c r="F20" i="16" s="1"/>
  <c r="V12" i="16" a="1"/>
  <c r="V12" i="16" s="1"/>
  <c r="V24" i="16" a="1"/>
  <c r="V24" i="16" s="1"/>
  <c r="N40" i="16" a="1"/>
  <c r="N40" i="16" s="1"/>
  <c r="F34" i="16" a="1"/>
  <c r="F34" i="16" s="1"/>
  <c r="N30" i="16" a="1"/>
  <c r="N30" i="16" s="1"/>
  <c r="F13" i="16" a="1"/>
  <c r="F13" i="16" s="1"/>
  <c r="F41" i="16" a="1"/>
  <c r="F41" i="16" s="1"/>
  <c r="B6" i="7"/>
  <c r="G7" i="17" s="1"/>
  <c r="C6" i="7"/>
  <c r="E7" i="17" s="1"/>
  <c r="N41" i="16" a="1"/>
  <c r="N41" i="16" s="1"/>
  <c r="N11" i="16" a="1"/>
  <c r="N11" i="16" s="1"/>
  <c r="V15" i="16" a="1"/>
  <c r="V15" i="16" s="1"/>
  <c r="N39" i="16" a="1"/>
  <c r="N39" i="16" s="1"/>
  <c r="F35" i="16" a="1"/>
  <c r="F35" i="16" s="1"/>
  <c r="N36" i="16" a="1"/>
  <c r="N36" i="16" s="1"/>
  <c r="V14" i="16" a="1"/>
  <c r="V14" i="16" s="1"/>
  <c r="V34" i="16" a="1"/>
  <c r="V34" i="16" s="1"/>
  <c r="F19" i="16" a="1"/>
  <c r="F19" i="16" s="1"/>
  <c r="V26" i="16" a="1"/>
  <c r="V26" i="16" s="1"/>
  <c r="V18" i="16" a="1"/>
  <c r="V18" i="16" s="1"/>
  <c r="N12" i="16" a="1"/>
  <c r="N12" i="16" s="1"/>
  <c r="V32" i="16" a="1"/>
  <c r="V32" i="16" s="1"/>
  <c r="V29" i="16" a="1"/>
  <c r="V29" i="16" s="1"/>
  <c r="F11" i="16" a="1"/>
  <c r="F11" i="16" s="1"/>
  <c r="N32" i="16" a="1"/>
  <c r="N32" i="16" s="1"/>
  <c r="N14" i="16" a="1"/>
  <c r="N14" i="16" s="1"/>
  <c r="N26" i="16" a="1"/>
  <c r="N26" i="16" s="1"/>
  <c r="F28" i="16" a="1"/>
  <c r="F28" i="16" s="1"/>
  <c r="E6" i="7"/>
  <c r="N28" i="16" a="1"/>
  <c r="N28" i="16" s="1"/>
  <c r="F21" i="16" a="1"/>
  <c r="F21" i="16" s="1"/>
  <c r="V23" i="16" a="1"/>
  <c r="V23" i="16" s="1"/>
  <c r="F15" i="16" a="1"/>
  <c r="F15" i="16" s="1"/>
  <c r="N37" i="16" a="1"/>
  <c r="N37" i="16" s="1"/>
  <c r="N22" i="16" a="1"/>
  <c r="N22" i="16" s="1"/>
  <c r="N21" i="16" a="1"/>
  <c r="N21" i="16" s="1"/>
  <c r="N35" i="16" a="1"/>
  <c r="N35" i="16" s="1"/>
  <c r="F26" i="16" a="1"/>
  <c r="F26" i="16" s="1"/>
  <c r="V28" i="16" a="1"/>
  <c r="V28" i="16" s="1"/>
  <c r="V22" i="16" a="1"/>
  <c r="V22" i="16" s="1"/>
  <c r="V31" i="16" a="1"/>
  <c r="V31" i="16" s="1"/>
  <c r="F29" i="16" a="1"/>
  <c r="F29" i="16" s="1"/>
  <c r="F36" i="16" a="1"/>
  <c r="F36" i="16" s="1"/>
  <c r="V27" i="16" a="1"/>
  <c r="V27" i="16" s="1"/>
  <c r="V35" i="16" a="1"/>
  <c r="V35" i="16" s="1"/>
  <c r="F32" i="16" a="1"/>
  <c r="F32" i="16" s="1"/>
  <c r="F31" i="16" a="1"/>
  <c r="F31" i="16" s="1"/>
  <c r="F22" i="16" a="1"/>
  <c r="F22" i="16" s="1"/>
  <c r="D6" i="7"/>
  <c r="F7" i="17" s="1"/>
  <c r="N23" i="16" a="1"/>
  <c r="N23" i="16" s="1"/>
  <c r="F14" i="16" a="1"/>
  <c r="F14" i="16" s="1"/>
  <c r="F27" i="16" a="1"/>
  <c r="F27" i="16" s="1"/>
  <c r="V39" i="16" a="1"/>
  <c r="V39" i="16" s="1"/>
  <c r="F40" i="16" a="1"/>
  <c r="F40" i="16" s="1"/>
  <c r="N16" i="16" a="1"/>
  <c r="N16" i="16" s="1"/>
  <c r="F17" i="16" a="1"/>
  <c r="F17" i="16" s="1"/>
  <c r="V41" i="16" a="1"/>
  <c r="V41" i="16" s="1"/>
  <c r="F37" i="16" a="1"/>
  <c r="F37" i="16" s="1"/>
  <c r="N38" i="16" a="1"/>
  <c r="N38" i="16" s="1"/>
  <c r="V38" i="16" a="1"/>
  <c r="V38" i="16" s="1"/>
  <c r="F23" i="16" a="1"/>
  <c r="F23" i="16" s="1"/>
  <c r="V13" i="16" a="1"/>
  <c r="V13" i="16" s="1"/>
  <c r="N19" i="16" a="1"/>
  <c r="N19" i="16" s="1"/>
  <c r="F30" i="16" a="1"/>
  <c r="F30" i="16" s="1"/>
  <c r="C5" i="1"/>
  <c r="H5" i="1" s="1"/>
  <c r="F38" i="16" a="1"/>
  <c r="F38" i="16" s="1"/>
  <c r="N18" i="16" a="1"/>
  <c r="N18" i="16" s="1"/>
  <c r="V25" i="16" a="1"/>
  <c r="V25" i="16" s="1"/>
  <c r="V40" i="16" a="1"/>
  <c r="V40" i="16" s="1"/>
  <c r="F24" i="16" a="1"/>
  <c r="F24" i="16" s="1"/>
  <c r="N25" i="16" a="1"/>
  <c r="N25" i="16" s="1"/>
  <c r="V19" i="16" a="1"/>
  <c r="V19" i="16" s="1"/>
  <c r="V16" i="16" a="1"/>
  <c r="V16" i="16" s="1"/>
  <c r="V30" i="16" a="1"/>
  <c r="V30" i="16" s="1"/>
  <c r="V20" i="16" a="1"/>
  <c r="V20" i="16" s="1"/>
  <c r="V37" i="16" a="1"/>
  <c r="V37" i="16" s="1"/>
  <c r="N29" i="16" a="1"/>
  <c r="N29" i="16" s="1"/>
  <c r="V17" i="16" a="1"/>
  <c r="V17" i="16" s="1"/>
  <c r="N13" i="16" a="1"/>
  <c r="N13" i="16" s="1"/>
  <c r="N17" i="16" a="1"/>
  <c r="N17" i="16" s="1"/>
  <c r="F33" i="16" a="1"/>
  <c r="F33" i="16" s="1"/>
  <c r="D28" i="17"/>
  <c r="H28" i="17" s="1"/>
  <c r="W24" i="12"/>
  <c r="C27" i="7"/>
  <c r="E28" i="17" s="1"/>
  <c r="D27" i="7"/>
  <c r="E27" i="7"/>
  <c r="B27" i="7"/>
  <c r="G28" i="17" s="1"/>
  <c r="C26" i="1"/>
  <c r="H26" i="1" s="1"/>
  <c r="D9" i="17"/>
  <c r="H9" i="17" s="1"/>
  <c r="B8" i="7"/>
  <c r="G9" i="17" s="1"/>
  <c r="D8" i="7"/>
  <c r="C8" i="7"/>
  <c r="E9" i="17" s="1"/>
  <c r="E8" i="7"/>
  <c r="C7" i="1"/>
  <c r="H7" i="1" s="1"/>
  <c r="W22" i="12"/>
  <c r="D26" i="17"/>
  <c r="H26" i="17" s="1"/>
  <c r="E25" i="7"/>
  <c r="D25" i="7"/>
  <c r="C25" i="7"/>
  <c r="E26" i="17" s="1"/>
  <c r="B25" i="7"/>
  <c r="G26" i="17" s="1"/>
  <c r="C24" i="1"/>
  <c r="H24" i="1" s="1"/>
  <c r="W10" i="12"/>
  <c r="D14" i="17"/>
  <c r="H14" i="17" s="1"/>
  <c r="D13" i="7"/>
  <c r="C13" i="7"/>
  <c r="E14" i="17" s="1"/>
  <c r="E13" i="7"/>
  <c r="B13" i="7"/>
  <c r="G14" i="17" s="1"/>
  <c r="C12" i="1"/>
  <c r="H12" i="1" s="1"/>
  <c r="E7" i="7"/>
  <c r="D8" i="17"/>
  <c r="H8" i="17" s="1"/>
  <c r="D7" i="7"/>
  <c r="C7" i="7"/>
  <c r="E8" i="17" s="1"/>
  <c r="B7" i="7"/>
  <c r="G8" i="17" s="1"/>
  <c r="C6" i="1"/>
  <c r="H6" i="1" s="1"/>
  <c r="W8" i="12"/>
  <c r="D11" i="7"/>
  <c r="C11" i="7"/>
  <c r="E12" i="17" s="1"/>
  <c r="D12" i="17"/>
  <c r="H12" i="17" s="1"/>
  <c r="E11" i="7"/>
  <c r="B11" i="7"/>
  <c r="G12" i="17" s="1"/>
  <c r="C10" i="1"/>
  <c r="H10" i="1" s="1"/>
  <c r="D22" i="17"/>
  <c r="H22" i="17" s="1"/>
  <c r="C21" i="7"/>
  <c r="E22" i="17" s="1"/>
  <c r="D21" i="7"/>
  <c r="B21" i="7"/>
  <c r="G22" i="17" s="1"/>
  <c r="W18" i="12"/>
  <c r="E21" i="7"/>
  <c r="C20" i="1"/>
  <c r="H20" i="1" s="1"/>
  <c r="W19" i="12"/>
  <c r="E22" i="7"/>
  <c r="C22" i="7"/>
  <c r="E23" i="17" s="1"/>
  <c r="D22" i="7"/>
  <c r="D23" i="17"/>
  <c r="H23" i="17" s="1"/>
  <c r="C21" i="1"/>
  <c r="H21" i="1" s="1"/>
  <c r="B22" i="7"/>
  <c r="G23" i="17" s="1"/>
  <c r="E9" i="7"/>
  <c r="D9" i="7"/>
  <c r="B9" i="7"/>
  <c r="G10" i="17" s="1"/>
  <c r="C9" i="7"/>
  <c r="E10" i="17" s="1"/>
  <c r="D10" i="17"/>
  <c r="H10" i="17" s="1"/>
  <c r="C8" i="1"/>
  <c r="H8" i="1" s="1"/>
  <c r="D21" i="17"/>
  <c r="H21" i="17" s="1"/>
  <c r="D20" i="7"/>
  <c r="C20" i="7"/>
  <c r="E21" i="17" s="1"/>
  <c r="W17" i="12"/>
  <c r="B20" i="7"/>
  <c r="G21" i="17" s="1"/>
  <c r="C19" i="1"/>
  <c r="H19" i="1" s="1"/>
  <c r="E20" i="7"/>
  <c r="E29" i="7"/>
  <c r="W26" i="12"/>
  <c r="D29" i="7"/>
  <c r="B29" i="7"/>
  <c r="G30" i="17" s="1"/>
  <c r="D30" i="17"/>
  <c r="H30" i="17" s="1"/>
  <c r="C29" i="7"/>
  <c r="E30" i="17" s="1"/>
  <c r="C28" i="1"/>
  <c r="H28" i="1" s="1"/>
  <c r="E15" i="7"/>
  <c r="D15" i="7"/>
  <c r="B15" i="7"/>
  <c r="G16" i="17" s="1"/>
  <c r="D16" i="17"/>
  <c r="H16" i="17" s="1"/>
  <c r="C15" i="7"/>
  <c r="E16" i="17" s="1"/>
  <c r="W12" i="12"/>
  <c r="C14" i="1"/>
  <c r="H14" i="1" s="1"/>
  <c r="D19" i="17"/>
  <c r="H19" i="17" s="1"/>
  <c r="E18" i="7"/>
  <c r="B18" i="7"/>
  <c r="G19" i="17" s="1"/>
  <c r="W15" i="12"/>
  <c r="C18" i="7"/>
  <c r="E19" i="17" s="1"/>
  <c r="C17" i="1"/>
  <c r="H17" i="1" s="1"/>
  <c r="D18" i="7"/>
  <c r="W11" i="12"/>
  <c r="E14" i="7"/>
  <c r="C14" i="7"/>
  <c r="E15" i="17" s="1"/>
  <c r="B14" i="7"/>
  <c r="G15" i="17" s="1"/>
  <c r="D15" i="17"/>
  <c r="H15" i="17" s="1"/>
  <c r="C13" i="1"/>
  <c r="H13" i="1" s="1"/>
  <c r="D14" i="7"/>
  <c r="D18" i="17"/>
  <c r="H18" i="17" s="1"/>
  <c r="E17" i="7"/>
  <c r="W14" i="12"/>
  <c r="B17" i="7"/>
  <c r="G18" i="17" s="1"/>
  <c r="D17" i="7"/>
  <c r="C17" i="7"/>
  <c r="E18" i="17" s="1"/>
  <c r="C16" i="1"/>
  <c r="H16" i="1" s="1"/>
  <c r="D13" i="17"/>
  <c r="H13" i="17" s="1"/>
  <c r="W9" i="12"/>
  <c r="C12" i="7"/>
  <c r="E13" i="17" s="1"/>
  <c r="D12" i="7"/>
  <c r="E12" i="7"/>
  <c r="B12" i="7"/>
  <c r="G13" i="17" s="1"/>
  <c r="C11" i="1"/>
  <c r="H11" i="1" s="1"/>
  <c r="E28" i="7"/>
  <c r="W25" i="12"/>
  <c r="B28" i="7"/>
  <c r="G29" i="17" s="1"/>
  <c r="C28" i="7"/>
  <c r="E29" i="17" s="1"/>
  <c r="D28" i="7"/>
  <c r="C27" i="1"/>
  <c r="H27" i="1" s="1"/>
  <c r="D29" i="17"/>
  <c r="H29" i="17" s="1"/>
  <c r="D25" i="17"/>
  <c r="H25" i="17" s="1"/>
  <c r="B24" i="7"/>
  <c r="G25" i="17" s="1"/>
  <c r="E24" i="7"/>
  <c r="C24" i="7"/>
  <c r="E25" i="17" s="1"/>
  <c r="W21" i="12"/>
  <c r="C23" i="1"/>
  <c r="H23" i="1" s="1"/>
  <c r="D24" i="7"/>
  <c r="W23" i="12"/>
  <c r="D26" i="7"/>
  <c r="B26" i="7"/>
  <c r="G27" i="17" s="1"/>
  <c r="E26" i="7"/>
  <c r="C25" i="1"/>
  <c r="H25" i="1" s="1"/>
  <c r="C26" i="7"/>
  <c r="E27" i="17" s="1"/>
  <c r="D27" i="17"/>
  <c r="H27" i="17" s="1"/>
  <c r="D20" i="17"/>
  <c r="H20" i="17" s="1"/>
  <c r="W16" i="12"/>
  <c r="E19" i="7"/>
  <c r="D19" i="7"/>
  <c r="C19" i="7"/>
  <c r="E20" i="17" s="1"/>
  <c r="B19" i="7"/>
  <c r="G20" i="17" s="1"/>
  <c r="C18" i="1"/>
  <c r="H18" i="1" s="1"/>
  <c r="F25" i="17" l="1"/>
  <c r="F29" i="17"/>
  <c r="F20" i="17"/>
  <c r="F15" i="17"/>
  <c r="F22" i="17"/>
  <c r="F12" i="17"/>
  <c r="F18" i="17"/>
  <c r="F26" i="17"/>
  <c r="F19" i="17"/>
  <c r="F16" i="17"/>
  <c r="F10" i="17"/>
  <c r="F11" i="17"/>
  <c r="D7" i="1"/>
  <c r="J9" i="17" s="1"/>
  <c r="F7" i="1"/>
  <c r="G7" i="1"/>
  <c r="D22" i="1"/>
  <c r="J24" i="17" s="1"/>
  <c r="G22" i="1"/>
  <c r="F22" i="1"/>
  <c r="D9" i="1"/>
  <c r="J11" i="17" s="1"/>
  <c r="F9" i="1"/>
  <c r="G9" i="1"/>
  <c r="D21" i="1"/>
  <c r="J23" i="17" s="1"/>
  <c r="F21" i="1"/>
  <c r="G21" i="1"/>
  <c r="D8" i="1"/>
  <c r="J10" i="17" s="1"/>
  <c r="G8" i="1"/>
  <c r="F8" i="1"/>
  <c r="D10" i="1"/>
  <c r="J12" i="17" s="1"/>
  <c r="G10" i="1"/>
  <c r="F10" i="1"/>
  <c r="D24" i="1"/>
  <c r="J26" i="17" s="1"/>
  <c r="G24" i="1"/>
  <c r="F24" i="1"/>
  <c r="F28" i="17"/>
  <c r="D5" i="1"/>
  <c r="F5" i="1"/>
  <c r="G5" i="1"/>
  <c r="F31" i="1"/>
  <c r="H29" i="1"/>
  <c r="F24" i="17"/>
  <c r="D15" i="1"/>
  <c r="J17" i="17" s="1"/>
  <c r="F15" i="1"/>
  <c r="G15" i="1"/>
  <c r="F17" i="17"/>
  <c r="D14" i="1"/>
  <c r="J16" i="17" s="1"/>
  <c r="G14" i="1"/>
  <c r="F14" i="1"/>
  <c r="D6" i="1"/>
  <c r="J8" i="17" s="1"/>
  <c r="G6" i="1"/>
  <c r="F6" i="1"/>
  <c r="D27" i="1"/>
  <c r="J29" i="17" s="1"/>
  <c r="F27" i="1"/>
  <c r="G27" i="1"/>
  <c r="F13" i="17"/>
  <c r="D16" i="1"/>
  <c r="J18" i="17" s="1"/>
  <c r="G16" i="1"/>
  <c r="F16" i="1"/>
  <c r="D17" i="1"/>
  <c r="J19" i="17" s="1"/>
  <c r="F17" i="1"/>
  <c r="G17" i="1"/>
  <c r="F23" i="17"/>
  <c r="D20" i="1"/>
  <c r="J22" i="17" s="1"/>
  <c r="G20" i="1"/>
  <c r="F20" i="1"/>
  <c r="D12" i="1"/>
  <c r="J14" i="17" s="1"/>
  <c r="G12" i="1"/>
  <c r="F12" i="1"/>
  <c r="F14" i="17"/>
  <c r="D26" i="1"/>
  <c r="J28" i="17" s="1"/>
  <c r="G26" i="1"/>
  <c r="F26" i="1"/>
  <c r="D25" i="1"/>
  <c r="J27" i="17" s="1"/>
  <c r="F25" i="1"/>
  <c r="G25" i="1"/>
  <c r="D23" i="1"/>
  <c r="J25" i="17" s="1"/>
  <c r="F23" i="1"/>
  <c r="G23" i="1"/>
  <c r="D18" i="1"/>
  <c r="J20" i="17" s="1"/>
  <c r="G18" i="1"/>
  <c r="F18" i="1"/>
  <c r="F27" i="17"/>
  <c r="D11" i="1"/>
  <c r="J13" i="17" s="1"/>
  <c r="G11" i="1"/>
  <c r="F11" i="1"/>
  <c r="D13" i="1"/>
  <c r="J15" i="17" s="1"/>
  <c r="F13" i="1"/>
  <c r="G13" i="1"/>
  <c r="D28" i="1"/>
  <c r="J30" i="17" s="1"/>
  <c r="G28" i="1"/>
  <c r="F28" i="1"/>
  <c r="F30" i="17"/>
  <c r="D19" i="1"/>
  <c r="J21" i="17" s="1"/>
  <c r="G19" i="1"/>
  <c r="F19" i="1"/>
  <c r="F21" i="17"/>
  <c r="F8" i="17"/>
  <c r="F9" i="17"/>
  <c r="E23" i="1" l="1"/>
  <c r="K25" i="17" s="1"/>
  <c r="N25" i="17" s="1"/>
  <c r="I25" i="17"/>
  <c r="M25" i="17" s="1"/>
  <c r="I29" i="17"/>
  <c r="E27" i="1"/>
  <c r="K29" i="17" s="1"/>
  <c r="N29" i="17" s="1"/>
  <c r="I16" i="17"/>
  <c r="M16" i="17" s="1"/>
  <c r="E14" i="1"/>
  <c r="K16" i="17" s="1"/>
  <c r="N16" i="17" s="1"/>
  <c r="I11" i="17"/>
  <c r="E9" i="1"/>
  <c r="K11" i="17" s="1"/>
  <c r="N11" i="17" s="1"/>
  <c r="I24" i="17"/>
  <c r="M24" i="17" s="1"/>
  <c r="E22" i="1"/>
  <c r="K24" i="17" s="1"/>
  <c r="N24" i="17" s="1"/>
  <c r="E19" i="1"/>
  <c r="K21" i="17" s="1"/>
  <c r="N21" i="17" s="1"/>
  <c r="I21" i="17"/>
  <c r="M21" i="17" s="1"/>
  <c r="O21" i="17" s="1"/>
  <c r="I30" i="17"/>
  <c r="M30" i="17" s="1"/>
  <c r="E28" i="1"/>
  <c r="K30" i="17" s="1"/>
  <c r="N30" i="17" s="1"/>
  <c r="I15" i="17"/>
  <c r="E13" i="1"/>
  <c r="K15" i="17" s="1"/>
  <c r="I13" i="17"/>
  <c r="M13" i="17" s="1"/>
  <c r="E11" i="1"/>
  <c r="K13" i="17" s="1"/>
  <c r="N13" i="17" s="1"/>
  <c r="I28" i="17"/>
  <c r="M28" i="17" s="1"/>
  <c r="E26" i="1"/>
  <c r="K28" i="17" s="1"/>
  <c r="N28" i="17" s="1"/>
  <c r="I22" i="17"/>
  <c r="M22" i="17" s="1"/>
  <c r="E20" i="1"/>
  <c r="K22" i="17" s="1"/>
  <c r="N22" i="17" s="1"/>
  <c r="E17" i="1"/>
  <c r="K19" i="17" s="1"/>
  <c r="N19" i="17" s="1"/>
  <c r="I19" i="17"/>
  <c r="M19" i="17" s="1"/>
  <c r="O19" i="17" s="1"/>
  <c r="E16" i="1"/>
  <c r="K18" i="17" s="1"/>
  <c r="N18" i="17" s="1"/>
  <c r="I18" i="17"/>
  <c r="M18" i="17" s="1"/>
  <c r="I8" i="17"/>
  <c r="M8" i="17" s="1"/>
  <c r="E6" i="1"/>
  <c r="K8" i="17" s="1"/>
  <c r="N8" i="17" s="1"/>
  <c r="E5" i="1"/>
  <c r="K7" i="17" s="1"/>
  <c r="N7" i="17" s="1"/>
  <c r="I7" i="17"/>
  <c r="G29" i="1"/>
  <c r="I20" i="17"/>
  <c r="M20" i="17" s="1"/>
  <c r="E18" i="1"/>
  <c r="K20" i="17" s="1"/>
  <c r="N20" i="17" s="1"/>
  <c r="I14" i="17"/>
  <c r="E12" i="1"/>
  <c r="K14" i="17" s="1"/>
  <c r="M29" i="17"/>
  <c r="F29" i="1"/>
  <c r="B31" i="1"/>
  <c r="I12" i="17"/>
  <c r="E10" i="1"/>
  <c r="K12" i="17" s="1"/>
  <c r="E8" i="1"/>
  <c r="K10" i="17" s="1"/>
  <c r="N10" i="17" s="1"/>
  <c r="I10" i="17"/>
  <c r="M10" i="17" s="1"/>
  <c r="M11" i="17"/>
  <c r="I27" i="17"/>
  <c r="M27" i="17" s="1"/>
  <c r="E25" i="1"/>
  <c r="K27" i="17" s="1"/>
  <c r="N27" i="17" s="1"/>
  <c r="M14" i="17"/>
  <c r="I17" i="17"/>
  <c r="M17" i="17" s="1"/>
  <c r="E15" i="1"/>
  <c r="K17" i="17" s="1"/>
  <c r="N17" i="17" s="1"/>
  <c r="J7" i="17"/>
  <c r="D29" i="1"/>
  <c r="E24" i="1"/>
  <c r="K26" i="17" s="1"/>
  <c r="N26" i="17" s="1"/>
  <c r="I26" i="17"/>
  <c r="M26" i="17" s="1"/>
  <c r="E21" i="1"/>
  <c r="K23" i="17" s="1"/>
  <c r="N23" i="17" s="1"/>
  <c r="I23" i="17"/>
  <c r="M23" i="17" s="1"/>
  <c r="I9" i="17"/>
  <c r="M9" i="17" s="1"/>
  <c r="E7" i="1"/>
  <c r="K9" i="17" s="1"/>
  <c r="N9" i="17" s="1"/>
  <c r="M7" i="17" l="1"/>
  <c r="O7" i="17" s="1"/>
  <c r="O24" i="17"/>
  <c r="N14" i="17"/>
  <c r="O14" i="17" s="1"/>
  <c r="O18" i="17"/>
  <c r="O23" i="17"/>
  <c r="O26" i="17"/>
  <c r="O8" i="17"/>
  <c r="O25" i="17"/>
  <c r="O9" i="17"/>
  <c r="O17" i="17"/>
  <c r="O27" i="17"/>
  <c r="O11" i="17"/>
  <c r="O29" i="17"/>
  <c r="O28" i="17"/>
  <c r="O22" i="17"/>
  <c r="O10" i="17"/>
  <c r="H31" i="1"/>
  <c r="D31" i="1" s="1"/>
  <c r="M15" i="17"/>
  <c r="N15" i="17"/>
  <c r="O20" i="17"/>
  <c r="E29" i="1"/>
  <c r="O13" i="17"/>
  <c r="O30" i="17"/>
  <c r="M12" i="17"/>
  <c r="N12" i="17"/>
  <c r="O16" i="17"/>
  <c r="O15" i="17" l="1"/>
  <c r="O12" i="17"/>
  <c r="E13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5" authorId="0" shapeId="0" xr:uid="{00000000-0006-0000-0000-000001000000}">
      <text>
        <r>
          <rPr>
            <b/>
            <sz val="12"/>
            <color indexed="81"/>
            <rFont val="Tahoma"/>
            <family val="2"/>
          </rPr>
          <t>Ctrl+ (:) or (ک)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مسئول بخش در این سلول ثبت گردد.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K3" authorId="0" shapeId="0" xr:uid="{00000000-0006-0000-0100-000001000000}">
      <text>
        <r>
          <rPr>
            <b/>
            <sz val="9"/>
            <color indexed="81"/>
            <rFont val="B Homa"/>
            <charset val="178"/>
          </rPr>
          <t>Author:</t>
        </r>
        <r>
          <rPr>
            <sz val="9"/>
            <color indexed="81"/>
            <rFont val="B Homa"/>
            <charset val="178"/>
          </rPr>
          <t xml:space="preserve">
برای کاهش روز های کاری ماه گزینه ضربدر را انتخاب کنید.</t>
        </r>
      </text>
    </comment>
    <comment ref="AL3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هر چه می خواهد دل تنگت بگو...
شعر ، جمله ، دلنوشته...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<sst xmlns="http://schemas.openxmlformats.org/spreadsheetml/2006/main" count="491" uniqueCount="203">
  <si>
    <t>موظف قانون
 ارتقاء بهره وری</t>
  </si>
  <si>
    <t>نام 
نام خانودگی</t>
  </si>
  <si>
    <t>استعلاجی</t>
  </si>
  <si>
    <t>استحقاقی</t>
  </si>
  <si>
    <t>موظف در
 هفته</t>
  </si>
  <si>
    <t>مجموع</t>
  </si>
  <si>
    <t>صبح و عصر
عادی</t>
  </si>
  <si>
    <t>صبح یا عصر
عادی</t>
  </si>
  <si>
    <t>شب</t>
  </si>
  <si>
    <t>سرانه اضافه کار</t>
  </si>
  <si>
    <t>خرداد ماه 1397</t>
  </si>
  <si>
    <t>اورژانس</t>
  </si>
  <si>
    <t>قلب</t>
  </si>
  <si>
    <t>CCU</t>
  </si>
  <si>
    <t>نورولوژی</t>
  </si>
  <si>
    <t>اتاق عمل</t>
  </si>
  <si>
    <t>جراحی چشم</t>
  </si>
  <si>
    <t>فوق تخصصی</t>
  </si>
  <si>
    <t>داخلی یک</t>
  </si>
  <si>
    <t>عفونی</t>
  </si>
  <si>
    <t>اندوسکوپی</t>
  </si>
  <si>
    <t>دفتر پرستاری</t>
  </si>
  <si>
    <t>داخلی دو</t>
  </si>
  <si>
    <t>فروردین ماه 1397</t>
  </si>
  <si>
    <t>اردیبهشت ماه 1397</t>
  </si>
  <si>
    <t>تیر ماه 1397</t>
  </si>
  <si>
    <t>مرداد ماه 1397</t>
  </si>
  <si>
    <t>شهریور ماه 1397</t>
  </si>
  <si>
    <t>مهرماه 1397</t>
  </si>
  <si>
    <t>آبان ماه 1397</t>
  </si>
  <si>
    <t>آذر ماه 1397</t>
  </si>
  <si>
    <t>دی ماه 1397</t>
  </si>
  <si>
    <t>بهمن ماه 1397</t>
  </si>
  <si>
    <t>اسفند ماه 1397</t>
  </si>
  <si>
    <t>دیالیز</t>
  </si>
  <si>
    <t>میانگین موظف 
در هفته</t>
  </si>
  <si>
    <t>طراح :س . رحیمی</t>
  </si>
  <si>
    <t>روزهای 
کاری ماه</t>
  </si>
  <si>
    <t>±</t>
  </si>
  <si>
    <t>شرکتی</t>
  </si>
  <si>
    <t>ü</t>
  </si>
  <si>
    <t>کل اضافه کار نیروهای بخش</t>
  </si>
  <si>
    <t>کل نیرو های بخش</t>
  </si>
  <si>
    <t>J</t>
  </si>
  <si>
    <t>K</t>
  </si>
  <si>
    <t>L</t>
  </si>
  <si>
    <t>R</t>
  </si>
  <si>
    <t>T</t>
  </si>
  <si>
    <t>C</t>
  </si>
  <si>
    <t>I</t>
  </si>
  <si>
    <t>M</t>
  </si>
  <si>
    <t>O</t>
  </si>
  <si>
    <t>{</t>
  </si>
  <si>
    <t>N</t>
  </si>
  <si>
    <t>¯</t>
  </si>
  <si>
    <t>A</t>
  </si>
  <si>
    <t>نام و نام خانوادگی</t>
  </si>
  <si>
    <t>نوع استخدام</t>
  </si>
  <si>
    <t>طرحی</t>
  </si>
  <si>
    <t>پیمانی</t>
  </si>
  <si>
    <t>قراردادی</t>
  </si>
  <si>
    <t>رسمی</t>
  </si>
  <si>
    <t>E</t>
  </si>
  <si>
    <t>تعداد مجاز پرسنل
 در هر شیفت</t>
  </si>
  <si>
    <t>Σ</t>
  </si>
  <si>
    <t>S</t>
  </si>
  <si>
    <t>H</t>
  </si>
  <si>
    <t>سال</t>
  </si>
  <si>
    <t>ماه</t>
  </si>
  <si>
    <t>تعطیل</t>
  </si>
  <si>
    <t>شنبه</t>
  </si>
  <si>
    <t>جمعه</t>
  </si>
  <si>
    <t>دوشنبه</t>
  </si>
  <si>
    <t>ایام هفته</t>
  </si>
  <si>
    <t>مدرک 
تحصیلی</t>
  </si>
  <si>
    <t>نوع 
استخدام</t>
  </si>
  <si>
    <t>سنوات</t>
  </si>
  <si>
    <t>جنسیت</t>
  </si>
  <si>
    <t>♀</t>
  </si>
  <si>
    <t>♂</t>
  </si>
  <si>
    <t>ME</t>
  </si>
  <si>
    <t>MN</t>
  </si>
  <si>
    <t>جنرال ICU</t>
  </si>
  <si>
    <t>ICU نورولوژی</t>
  </si>
  <si>
    <t>کاردان</t>
  </si>
  <si>
    <t>کارشناس</t>
  </si>
  <si>
    <t>کارشناس ارشد</t>
  </si>
  <si>
    <t>دیپلم</t>
  </si>
  <si>
    <t>دکتری</t>
  </si>
  <si>
    <t>خدمتگذار</t>
  </si>
  <si>
    <t>کمک پرستار</t>
  </si>
  <si>
    <t>کارشناس ترخیص</t>
  </si>
  <si>
    <t>…</t>
  </si>
  <si>
    <t>پنج شنبه</t>
  </si>
  <si>
    <t xml:space="preserve">اسفند  </t>
  </si>
  <si>
    <t>تاریخ اصلاح:</t>
  </si>
  <si>
    <t>ردیف</t>
  </si>
  <si>
    <t>بخش</t>
  </si>
  <si>
    <t>نسخه:</t>
  </si>
  <si>
    <t xml:space="preserve">     روز قبل</t>
  </si>
  <si>
    <t>مقامات تایید کننده</t>
  </si>
  <si>
    <t>رییس بیمارستان</t>
  </si>
  <si>
    <t>مدیر داخلی بیمارستان</t>
  </si>
  <si>
    <t>مسئول امور مالی</t>
  </si>
  <si>
    <t>تنظیم کننده</t>
  </si>
  <si>
    <t>سایر اطلاعات تکمیلی</t>
  </si>
  <si>
    <t>دانشگاه علوم پزشکی خراسان شمالی</t>
  </si>
  <si>
    <t>تاریخ</t>
  </si>
  <si>
    <t>صبح</t>
  </si>
  <si>
    <t>عصر</t>
  </si>
  <si>
    <t>پزشک شیفت</t>
  </si>
  <si>
    <t xml:space="preserve">فروردین  </t>
  </si>
  <si>
    <t xml:space="preserve">اردیبهشت  </t>
  </si>
  <si>
    <t>یکشنبه</t>
  </si>
  <si>
    <t xml:space="preserve">خرداد  </t>
  </si>
  <si>
    <t xml:space="preserve">تیر  </t>
  </si>
  <si>
    <t>سه شنبه</t>
  </si>
  <si>
    <t>فرمول اسامی یکبار تکرار شده</t>
  </si>
  <si>
    <t xml:space="preserve">مرداد  </t>
  </si>
  <si>
    <t>چهار شنبه</t>
  </si>
  <si>
    <t xml:space="preserve">شهریور  </t>
  </si>
  <si>
    <t xml:space="preserve">مهر  </t>
  </si>
  <si>
    <t xml:space="preserve">آبان  </t>
  </si>
  <si>
    <t xml:space="preserve">آذر  </t>
  </si>
  <si>
    <t xml:space="preserve">دی  </t>
  </si>
  <si>
    <t xml:space="preserve">بهمن  </t>
  </si>
  <si>
    <t>مدرک تحصیلی</t>
  </si>
  <si>
    <t>ماه ها</t>
  </si>
  <si>
    <t>اولین روز ماه</t>
  </si>
  <si>
    <t>روز های هفته</t>
  </si>
  <si>
    <t>دکتری عمومی</t>
  </si>
  <si>
    <t>متخصص طب اورژانس</t>
  </si>
  <si>
    <t>نوع  استخدام</t>
  </si>
  <si>
    <t>انواع شیفت</t>
  </si>
  <si>
    <t>نام پزشک</t>
  </si>
  <si>
    <t>سابقه به ماه</t>
  </si>
  <si>
    <t>رتبه سابقه</t>
  </si>
  <si>
    <t>شیفت در گردش</t>
  </si>
  <si>
    <t>❌</t>
  </si>
  <si>
    <t>✔</t>
  </si>
  <si>
    <t>تعهد تمام وقت</t>
  </si>
  <si>
    <t>تفاهمی</t>
  </si>
  <si>
    <t>میزان ساعت کاری هر شیفت</t>
  </si>
  <si>
    <t>دارای رابطه استخدامی</t>
  </si>
  <si>
    <t>فاقد رابطه استخدامی</t>
  </si>
  <si>
    <t>مبلغ ریالی هر ساعت اضافه کار</t>
  </si>
  <si>
    <t xml:space="preserve">برنامه کاری </t>
  </si>
  <si>
    <t>v1</t>
  </si>
  <si>
    <t xml:space="preserve">برنامه عملکرد پزشکان  </t>
  </si>
  <si>
    <t>موظف 
قانون کار</t>
  </si>
  <si>
    <t xml:space="preserve">غیر موظف </t>
  </si>
  <si>
    <t>صبح یا عصر
★تعطیل★</t>
  </si>
  <si>
    <t>کسر سابقه کار</t>
  </si>
  <si>
    <t>بخش های کسر 2</t>
  </si>
  <si>
    <t>ICU 1</t>
  </si>
  <si>
    <t>ICU2</t>
  </si>
  <si>
    <t>ICU3</t>
  </si>
  <si>
    <t>ICU4</t>
  </si>
  <si>
    <t>کسر سختی کار بخش</t>
  </si>
  <si>
    <t>کسر شیفت در گردش</t>
  </si>
  <si>
    <t>موظف در هفته</t>
  </si>
  <si>
    <t>سابقه به ماه
(برای ترتیب)</t>
  </si>
  <si>
    <t>صبح و عصر
★تعطیل★</t>
  </si>
  <si>
    <t>اضافات،
کسورات</t>
  </si>
  <si>
    <t>کل
کارکرد</t>
  </si>
  <si>
    <t>EN</t>
  </si>
  <si>
    <t>جام می و خون دل 
                  هر یک به کسی دادند
در دایره تقدیر
                اوضاع چنین باشد...</t>
  </si>
  <si>
    <t xml:space="preserve">سابقه کاری </t>
  </si>
  <si>
    <t>استخدام</t>
  </si>
  <si>
    <t>تعهد</t>
  </si>
  <si>
    <t>مهر و امضا مسئول بخش</t>
  </si>
  <si>
    <r>
      <t>M</t>
    </r>
    <r>
      <rPr>
        <sz val="11"/>
        <color theme="1"/>
        <rFont val="B Koodak"/>
        <charset val="178"/>
      </rPr>
      <t xml:space="preserve">  تعداد پرسنل </t>
    </r>
  </si>
  <si>
    <r>
      <t>E</t>
    </r>
    <r>
      <rPr>
        <sz val="11"/>
        <color theme="1"/>
        <rFont val="B Koodak"/>
        <charset val="178"/>
      </rPr>
      <t xml:space="preserve">   تعداد پرسنل </t>
    </r>
  </si>
  <si>
    <r>
      <t>N</t>
    </r>
    <r>
      <rPr>
        <sz val="11"/>
        <color theme="1"/>
        <rFont val="B Koodak"/>
        <charset val="178"/>
      </rPr>
      <t xml:space="preserve">   تعداد پرسنل </t>
    </r>
  </si>
  <si>
    <t>سابقه کاری</t>
  </si>
  <si>
    <t>موظف</t>
  </si>
  <si>
    <t>غیرموظف</t>
  </si>
  <si>
    <t>کارکرد</t>
  </si>
  <si>
    <t>مبلغ اضافه کار</t>
  </si>
  <si>
    <t>کل دریافتی</t>
  </si>
  <si>
    <t>جزء حرفه محاسبه
 شده ماه</t>
  </si>
  <si>
    <t xml:space="preserve"> جزء حرفه ای
 قاصدک</t>
  </si>
  <si>
    <t>پزشک مسئول  بخش:</t>
  </si>
  <si>
    <t>ریاست بیمارستان:</t>
  </si>
  <si>
    <t>مسئول کارگزینی بیمارستان</t>
  </si>
  <si>
    <t>مسئول بخش</t>
  </si>
  <si>
    <t>مدیر اقتصاد درمان معاونت</t>
  </si>
  <si>
    <t>مسئول بخش:</t>
  </si>
  <si>
    <t>رییس بیمارستان:</t>
  </si>
  <si>
    <t>مدیر بیمارستان:</t>
  </si>
  <si>
    <t>مسئول کارگزینی بیمارستان:</t>
  </si>
  <si>
    <t>مسئول امور مالی:</t>
  </si>
  <si>
    <t>تنظیم کننده :</t>
  </si>
  <si>
    <t>مسئول اقتصاد درمان معاونت:</t>
  </si>
  <si>
    <t>v-01</t>
  </si>
  <si>
    <t>مرکز آموزشی پژوهشی درمانی بیمارستان بنت الهدی</t>
  </si>
  <si>
    <t xml:space="preserve"> </t>
  </si>
  <si>
    <t>دکتر علی</t>
  </si>
  <si>
    <t>دکتر صبا</t>
  </si>
  <si>
    <t>دکتر لیلا</t>
  </si>
  <si>
    <t>دکتر عاطفه</t>
  </si>
  <si>
    <t>دکتر محسن</t>
  </si>
  <si>
    <t>دکتر خالد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</si>
</sst>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(* #,##0_);_(* \(#,##0\);_(* &quot;-&quot;??_);_(@_)"/>
  </numFmts>
  <fonts count="54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sz val="12"/>
      <color theme="1"/>
      <name val="B Titr"/>
      <charset val="178"/>
    </font>
    <font>
      <sz val="11"/>
      <color theme="1"/>
      <name val="B Yekan"/>
      <charset val="178"/>
    </font>
    <font>
      <sz val="12"/>
      <color theme="1"/>
      <name val="B Yekan"/>
      <charset val="178"/>
    </font>
    <font>
      <sz val="8"/>
      <color theme="2"/>
      <name val="B Morvarid"/>
      <charset val="178"/>
    </font>
    <font>
      <b/>
      <sz val="18"/>
      <color theme="1"/>
      <name val="B Yekan"/>
      <charset val="178"/>
    </font>
    <font>
      <b/>
      <sz val="11"/>
      <color theme="1"/>
      <name val="B Titr"/>
      <charset val="178"/>
    </font>
    <font>
      <sz val="12"/>
      <color rgb="FFFF0000"/>
      <name val="Wingdings"/>
      <charset val="2"/>
    </font>
    <font>
      <sz val="12"/>
      <color rgb="FF00B050"/>
      <name val="Wingdings"/>
      <charset val="2"/>
    </font>
    <font>
      <sz val="14"/>
      <color theme="1"/>
      <name val="Wingdings"/>
      <charset val="2"/>
    </font>
    <font>
      <u/>
      <sz val="16"/>
      <color theme="1"/>
      <name val="Wingdings"/>
      <charset val="2"/>
    </font>
    <font>
      <sz val="14"/>
      <color theme="1"/>
      <name val="B Titr"/>
      <charset val="178"/>
    </font>
    <font>
      <sz val="20"/>
      <color theme="1"/>
      <name val="Andalus"/>
      <family val="1"/>
    </font>
    <font>
      <sz val="14"/>
      <color theme="1"/>
      <name val="B Yekan"/>
      <charset val="178"/>
    </font>
    <font>
      <sz val="16"/>
      <color theme="1"/>
      <name val="B Yekan"/>
      <charset val="178"/>
    </font>
    <font>
      <b/>
      <sz val="10"/>
      <color theme="1"/>
      <name val="Andalus"/>
      <family val="1"/>
    </font>
    <font>
      <b/>
      <sz val="22"/>
      <color theme="1"/>
      <name val="Calibri"/>
      <family val="2"/>
    </font>
    <font>
      <sz val="11"/>
      <color theme="1"/>
      <name val="B Homa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Arial Narrow"/>
      <family val="2"/>
    </font>
    <font>
      <sz val="9"/>
      <color theme="1"/>
      <name val="B Homa"/>
      <charset val="178"/>
    </font>
    <font>
      <sz val="20"/>
      <color theme="1"/>
      <name val="B Homa"/>
      <charset val="178"/>
    </font>
    <font>
      <sz val="16"/>
      <color theme="1"/>
      <name val="B Homa"/>
      <charset val="178"/>
    </font>
    <font>
      <b/>
      <sz val="9"/>
      <color rgb="FF5F6368"/>
      <name val="B Homa"/>
      <charset val="178"/>
    </font>
    <font>
      <sz val="12"/>
      <color theme="1"/>
      <name val="B Homa"/>
      <charset val="178"/>
    </font>
    <font>
      <sz val="14"/>
      <color theme="1"/>
      <name val="B Homa"/>
      <charset val="178"/>
    </font>
    <font>
      <b/>
      <sz val="12"/>
      <color indexed="81"/>
      <name val="Tahoma"/>
      <family val="2"/>
    </font>
    <font>
      <sz val="16"/>
      <color theme="1"/>
      <name val="B Titr"/>
      <charset val="178"/>
    </font>
    <font>
      <sz val="16"/>
      <color theme="1"/>
      <name val="Calibri"/>
      <family val="2"/>
      <scheme val="minor"/>
    </font>
    <font>
      <sz val="11"/>
      <color theme="1"/>
      <name val="B Koodak"/>
      <charset val="178"/>
    </font>
    <font>
      <sz val="11"/>
      <color theme="1"/>
      <name val="Calibri"/>
      <family val="2"/>
      <scheme val="minor"/>
    </font>
    <font>
      <b/>
      <sz val="11"/>
      <color rgb="FF202124"/>
      <name val="Arial"/>
      <family val="2"/>
    </font>
    <font>
      <b/>
      <sz val="12"/>
      <color theme="1"/>
      <name val="B Koodak"/>
      <charset val="178"/>
    </font>
    <font>
      <sz val="11"/>
      <color rgb="FF202124"/>
      <name val="Arial"/>
      <family val="2"/>
    </font>
    <font>
      <sz val="24"/>
      <color theme="1"/>
      <name val="B Homa"/>
      <charset val="178"/>
    </font>
    <font>
      <sz val="11"/>
      <color theme="1"/>
      <name val="Algerian"/>
      <family val="5"/>
    </font>
    <font>
      <sz val="15"/>
      <color theme="1"/>
      <name val="B Yekan"/>
      <charset val="178"/>
    </font>
    <font>
      <sz val="14"/>
      <color theme="1"/>
      <name val="B Koodak"/>
      <charset val="178"/>
    </font>
    <font>
      <sz val="18"/>
      <color theme="1"/>
      <name val="B Titr"/>
      <charset val="178"/>
    </font>
    <font>
      <b/>
      <sz val="18"/>
      <color theme="1"/>
      <name val="B Nazanin"/>
      <charset val="178"/>
    </font>
    <font>
      <sz val="12"/>
      <color theme="2" tint="-9.9978637043366805E-2"/>
      <name val="B Homa"/>
      <charset val="178"/>
    </font>
    <font>
      <sz val="12"/>
      <color theme="1"/>
      <name val="Calibri"/>
      <family val="2"/>
      <scheme val="minor"/>
    </font>
    <font>
      <b/>
      <sz val="10"/>
      <color theme="3" tint="-0.249977111117893"/>
      <name val="Comic Sans MS"/>
      <family val="4"/>
    </font>
    <font>
      <sz val="10"/>
      <color theme="1"/>
      <name val="B Nazanin"/>
      <charset val="178"/>
    </font>
    <font>
      <sz val="36"/>
      <color theme="1"/>
      <name val="B Homa"/>
      <charset val="17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B Homa"/>
      <charset val="178"/>
    </font>
    <font>
      <b/>
      <sz val="9"/>
      <color indexed="81"/>
      <name val="B Homa"/>
      <charset val="17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 tint="0.80001220740379042"/>
        </stop>
      </gradientFill>
    </fill>
    <fill>
      <gradientFill degree="90">
        <stop position="0">
          <color theme="4" tint="0.80001220740379042"/>
        </stop>
        <stop position="0.5">
          <color theme="0"/>
        </stop>
        <stop position="1">
          <color theme="4" tint="0.80001220740379042"/>
        </stop>
      </gradient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gradientFill degree="90">
        <stop position="0">
          <color theme="4"/>
        </stop>
        <stop position="0.5">
          <color theme="0"/>
        </stop>
        <stop position="1">
          <color theme="4"/>
        </stop>
      </gradientFill>
    </fill>
    <fill>
      <patternFill patternType="gray0625">
        <bgColor theme="4" tint="0.5999633777886288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gradientFill degree="90">
        <stop position="0">
          <color theme="4" tint="0.59999389629810485"/>
        </stop>
        <stop position="0.5">
          <color theme="0"/>
        </stop>
        <stop position="1">
          <color theme="4" tint="0.59999389629810485"/>
        </stop>
      </gradient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/>
      <top style="medium">
        <color indexed="64"/>
      </top>
      <bottom style="double">
        <color auto="1"/>
      </bottom>
      <diagonal/>
    </border>
    <border>
      <left/>
      <right style="double">
        <color auto="1"/>
      </right>
      <top style="medium">
        <color indexed="64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33" fillId="0" borderId="0" applyFont="0" applyFill="0" applyBorder="0" applyAlignment="0" applyProtection="0"/>
  </cellStyleXfs>
  <cellXfs count="307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4" fillId="5" borderId="2" xfId="0" applyFont="1" applyFill="1" applyBorder="1" applyAlignment="1" applyProtection="1">
      <alignment horizontal="center" vertical="center"/>
      <protection hidden="1"/>
    </xf>
    <xf numFmtId="1" fontId="5" fillId="5" borderId="1" xfId="0" applyNumberFormat="1" applyFont="1" applyFill="1" applyBorder="1" applyAlignment="1" applyProtection="1">
      <alignment horizontal="center" vertical="center"/>
      <protection hidden="1"/>
    </xf>
    <xf numFmtId="0" fontId="0" fillId="6" borderId="4" xfId="0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1" fillId="6" borderId="11" xfId="0" applyFont="1" applyFill="1" applyBorder="1" applyAlignment="1" applyProtection="1">
      <alignment horizontal="center" vertical="center"/>
      <protection hidden="1"/>
    </xf>
    <xf numFmtId="1" fontId="5" fillId="6" borderId="5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20" fontId="0" fillId="0" borderId="0" xfId="0" applyNumberFormat="1" applyProtection="1">
      <protection hidden="1"/>
    </xf>
    <xf numFmtId="0" fontId="22" fillId="0" borderId="0" xfId="0" applyFont="1" applyProtection="1">
      <protection hidden="1"/>
    </xf>
    <xf numFmtId="0" fontId="12" fillId="3" borderId="2" xfId="0" applyFont="1" applyFill="1" applyBorder="1" applyAlignment="1" applyProtection="1">
      <alignment horizontal="center" vertical="center"/>
      <protection hidden="1"/>
    </xf>
    <xf numFmtId="0" fontId="8" fillId="5" borderId="1" xfId="0" applyFont="1" applyFill="1" applyBorder="1" applyAlignment="1" applyProtection="1">
      <alignment horizontal="center" vertical="center"/>
      <protection hidden="1"/>
    </xf>
    <xf numFmtId="0" fontId="2" fillId="5" borderId="1" xfId="0" applyFont="1" applyFill="1" applyBorder="1" applyAlignment="1" applyProtection="1">
      <alignment horizontal="center" vertical="center"/>
      <protection hidden="1"/>
    </xf>
    <xf numFmtId="1" fontId="5" fillId="2" borderId="1" xfId="0" applyNumberFormat="1" applyFont="1" applyFill="1" applyBorder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center" vertical="center"/>
      <protection hidden="1"/>
    </xf>
    <xf numFmtId="0" fontId="23" fillId="10" borderId="0" xfId="0" applyFont="1" applyFill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5" fillId="10" borderId="0" xfId="0" applyFont="1" applyFill="1" applyAlignment="1" applyProtection="1">
      <alignment horizontal="center" vertical="center"/>
      <protection hidden="1"/>
    </xf>
    <xf numFmtId="0" fontId="26" fillId="10" borderId="0" xfId="0" applyFont="1" applyFill="1" applyAlignment="1" applyProtection="1">
      <alignment horizontal="center" vertical="center"/>
      <protection hidden="1"/>
    </xf>
    <xf numFmtId="14" fontId="23" fillId="0" borderId="0" xfId="0" applyNumberFormat="1" applyFont="1" applyAlignment="1" applyProtection="1">
      <alignment horizontal="center" vertical="center"/>
      <protection hidden="1"/>
    </xf>
    <xf numFmtId="0" fontId="32" fillId="13" borderId="2" xfId="0" applyFont="1" applyFill="1" applyBorder="1" applyAlignment="1" applyProtection="1">
      <alignment horizontal="center" vertical="center"/>
      <protection hidden="1"/>
    </xf>
    <xf numFmtId="0" fontId="32" fillId="13" borderId="1" xfId="0" applyFont="1" applyFill="1" applyBorder="1" applyAlignment="1" applyProtection="1">
      <alignment horizontal="center" vertical="center"/>
      <protection locked="0" hidden="1"/>
    </xf>
    <xf numFmtId="0" fontId="3" fillId="14" borderId="0" xfId="0" applyFont="1" applyFill="1" applyAlignment="1" applyProtection="1">
      <alignment horizontal="center" vertical="center"/>
      <protection hidden="1"/>
    </xf>
    <xf numFmtId="0" fontId="32" fillId="13" borderId="3" xfId="0" applyFont="1" applyFill="1" applyBorder="1" applyAlignment="1" applyProtection="1">
      <alignment horizontal="center" vertical="center"/>
      <protection locked="0" hidden="1"/>
    </xf>
    <xf numFmtId="0" fontId="1" fillId="14" borderId="0" xfId="0" applyFont="1" applyFill="1" applyAlignment="1" applyProtection="1">
      <alignment horizontal="center" vertical="center"/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2" fillId="0" borderId="0" xfId="0" quotePrefix="1" applyFont="1" applyAlignment="1" applyProtection="1">
      <alignment horizontal="center" vertical="center"/>
      <protection hidden="1"/>
    </xf>
    <xf numFmtId="0" fontId="3" fillId="14" borderId="0" xfId="0" applyFont="1" applyFill="1" applyAlignment="1" applyProtection="1">
      <alignment horizontal="center" vertical="center" textRotation="180"/>
      <protection hidden="1"/>
    </xf>
    <xf numFmtId="0" fontId="32" fillId="13" borderId="37" xfId="0" applyFont="1" applyFill="1" applyBorder="1" applyAlignment="1" applyProtection="1">
      <alignment horizontal="center" vertical="center"/>
      <protection locked="0" hidden="1"/>
    </xf>
    <xf numFmtId="0" fontId="3" fillId="15" borderId="1" xfId="0" applyFont="1" applyFill="1" applyBorder="1" applyAlignment="1" applyProtection="1">
      <alignment horizontal="center" vertical="center"/>
      <protection hidden="1"/>
    </xf>
    <xf numFmtId="0" fontId="27" fillId="13" borderId="2" xfId="0" applyFont="1" applyFill="1" applyBorder="1" applyAlignment="1" applyProtection="1">
      <alignment horizontal="center" vertical="center"/>
      <protection hidden="1"/>
    </xf>
    <xf numFmtId="166" fontId="27" fillId="13" borderId="3" xfId="1" applyNumberFormat="1" applyFont="1" applyFill="1" applyBorder="1" applyAlignment="1" applyProtection="1">
      <alignment horizontal="center" vertical="center" readingOrder="2"/>
      <protection locked="0" hidden="1"/>
    </xf>
    <xf numFmtId="0" fontId="27" fillId="13" borderId="4" xfId="0" applyFont="1" applyFill="1" applyBorder="1" applyAlignment="1" applyProtection="1">
      <alignment horizontal="center" vertical="center"/>
      <protection hidden="1"/>
    </xf>
    <xf numFmtId="0" fontId="27" fillId="13" borderId="3" xfId="0" applyFont="1" applyFill="1" applyBorder="1" applyAlignment="1" applyProtection="1">
      <alignment horizontal="center" vertical="center"/>
      <protection locked="0" hidden="1"/>
    </xf>
    <xf numFmtId="166" fontId="27" fillId="13" borderId="3" xfId="1" applyNumberFormat="1" applyFont="1" applyFill="1" applyBorder="1" applyAlignment="1" applyProtection="1">
      <alignment horizontal="center" vertical="center"/>
      <protection locked="0" hidden="1"/>
    </xf>
    <xf numFmtId="0" fontId="27" fillId="13" borderId="6" xfId="0" applyFont="1" applyFill="1" applyBorder="1" applyAlignment="1" applyProtection="1">
      <alignment horizontal="center" vertical="center"/>
      <protection locked="0" hidden="1"/>
    </xf>
    <xf numFmtId="0" fontId="1" fillId="8" borderId="2" xfId="0" applyFont="1" applyFill="1" applyBorder="1" applyAlignment="1" applyProtection="1">
      <alignment horizontal="center" vertical="center"/>
      <protection hidden="1"/>
    </xf>
    <xf numFmtId="0" fontId="4" fillId="7" borderId="1" xfId="0" applyFont="1" applyFill="1" applyBorder="1" applyAlignment="1" applyProtection="1">
      <alignment horizontal="center" vertical="center"/>
      <protection hidden="1"/>
    </xf>
    <xf numFmtId="0" fontId="4" fillId="7" borderId="3" xfId="0" applyFont="1" applyFill="1" applyBorder="1" applyAlignment="1" applyProtection="1">
      <alignment horizontal="center" vertical="center"/>
      <protection hidden="1"/>
    </xf>
    <xf numFmtId="0" fontId="32" fillId="13" borderId="1" xfId="0" quotePrefix="1" applyFont="1" applyFill="1" applyBorder="1" applyAlignment="1" applyProtection="1">
      <alignment horizontal="center" vertical="center"/>
      <protection locked="0" hidden="1"/>
    </xf>
    <xf numFmtId="0" fontId="24" fillId="10" borderId="0" xfId="0" applyFont="1" applyFill="1" applyAlignment="1" applyProtection="1">
      <alignment vertical="top"/>
      <protection hidden="1"/>
    </xf>
    <xf numFmtId="0" fontId="3" fillId="14" borderId="0" xfId="0" applyFont="1" applyFill="1" applyAlignment="1" applyProtection="1">
      <alignment horizontal="center" vertical="center" wrapText="1"/>
      <protection hidden="1"/>
    </xf>
    <xf numFmtId="0" fontId="1" fillId="8" borderId="1" xfId="0" applyFont="1" applyFill="1" applyBorder="1" applyAlignment="1" applyProtection="1">
      <alignment horizontal="center" vertical="center"/>
      <protection hidden="1"/>
    </xf>
    <xf numFmtId="0" fontId="35" fillId="8" borderId="1" xfId="0" applyFont="1" applyFill="1" applyBorder="1" applyAlignment="1" applyProtection="1">
      <alignment horizontal="center" vertical="center"/>
      <protection hidden="1"/>
    </xf>
    <xf numFmtId="0" fontId="4" fillId="8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right"/>
      <protection hidden="1"/>
    </xf>
    <xf numFmtId="0" fontId="32" fillId="14" borderId="0" xfId="0" applyFont="1" applyFill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1" fontId="5" fillId="7" borderId="1" xfId="0" applyNumberFormat="1" applyFont="1" applyFill="1" applyBorder="1" applyAlignment="1" applyProtection="1">
      <alignment horizontal="center" vertical="center"/>
      <protection locked="0" hidden="1"/>
    </xf>
    <xf numFmtId="165" fontId="5" fillId="2" borderId="1" xfId="0" applyNumberFormat="1" applyFont="1" applyFill="1" applyBorder="1" applyAlignment="1" applyProtection="1">
      <alignment horizontal="center" vertical="center"/>
      <protection hidden="1"/>
    </xf>
    <xf numFmtId="165" fontId="5" fillId="5" borderId="1" xfId="0" applyNumberFormat="1" applyFont="1" applyFill="1" applyBorder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/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8" fillId="2" borderId="1" xfId="0" applyFont="1" applyFill="1" applyBorder="1" applyAlignment="1" applyProtection="1">
      <alignment horizontal="center" vertical="center"/>
      <protection hidden="1"/>
    </xf>
    <xf numFmtId="0" fontId="0" fillId="2" borderId="0" xfId="0" applyFill="1" applyProtection="1"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0" fillId="2" borderId="33" xfId="0" applyFill="1" applyBorder="1" applyProtection="1">
      <protection hidden="1"/>
    </xf>
    <xf numFmtId="0" fontId="0" fillId="2" borderId="0" xfId="0" applyFill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right"/>
      <protection hidden="1"/>
    </xf>
    <xf numFmtId="0" fontId="40" fillId="2" borderId="1" xfId="0" applyFont="1" applyFill="1" applyBorder="1" applyAlignment="1" applyProtection="1">
      <alignment horizontal="center" vertical="center"/>
      <protection hidden="1"/>
    </xf>
    <xf numFmtId="0" fontId="40" fillId="2" borderId="5" xfId="0" applyFont="1" applyFill="1" applyBorder="1" applyAlignment="1" applyProtection="1">
      <alignment horizontal="center" vertical="center"/>
      <protection hidden="1"/>
    </xf>
    <xf numFmtId="0" fontId="38" fillId="17" borderId="1" xfId="0" applyFont="1" applyFill="1" applyBorder="1" applyAlignment="1" applyProtection="1">
      <alignment horizontal="center" vertical="center"/>
      <protection locked="0" hidden="1"/>
    </xf>
    <xf numFmtId="0" fontId="45" fillId="8" borderId="1" xfId="0" applyFont="1" applyFill="1" applyBorder="1" applyAlignment="1" applyProtection="1">
      <alignment horizontal="center" vertical="center"/>
      <protection locked="0" hidden="1"/>
    </xf>
    <xf numFmtId="0" fontId="45" fillId="8" borderId="1" xfId="0" quotePrefix="1" applyFont="1" applyFill="1" applyBorder="1" applyAlignment="1" applyProtection="1">
      <alignment horizontal="center" vertical="center"/>
      <protection locked="0"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 applyProtection="1">
      <alignment horizontal="center" vertical="center" textRotation="180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0" fontId="35" fillId="2" borderId="1" xfId="0" applyFont="1" applyFill="1" applyBorder="1" applyAlignment="1" applyProtection="1">
      <alignment horizontal="center" vertical="center"/>
      <protection hidden="1"/>
    </xf>
    <xf numFmtId="0" fontId="4" fillId="2" borderId="1" xfId="0" applyFont="1" applyFill="1" applyBorder="1" applyAlignment="1" applyProtection="1">
      <alignment horizontal="center" vertical="center"/>
      <protection hidden="1"/>
    </xf>
    <xf numFmtId="0" fontId="45" fillId="2" borderId="1" xfId="0" applyFont="1" applyFill="1" applyBorder="1" applyAlignment="1" applyProtection="1">
      <alignment horizontal="center" vertical="center"/>
      <protection locked="0" hidden="1"/>
    </xf>
    <xf numFmtId="0" fontId="4" fillId="2" borderId="3" xfId="0" applyFont="1" applyFill="1" applyBorder="1" applyAlignment="1" applyProtection="1">
      <alignment horizontal="center" vertical="center"/>
      <protection hidden="1"/>
    </xf>
    <xf numFmtId="0" fontId="1" fillId="8" borderId="27" xfId="0" applyFont="1" applyFill="1" applyBorder="1" applyAlignment="1" applyProtection="1">
      <alignment horizontal="center" vertical="center"/>
      <protection hidden="1"/>
    </xf>
    <xf numFmtId="0" fontId="1" fillId="8" borderId="26" xfId="0" applyFont="1" applyFill="1" applyBorder="1" applyAlignment="1" applyProtection="1">
      <alignment horizontal="center" vertical="center"/>
      <protection hidden="1"/>
    </xf>
    <xf numFmtId="0" fontId="35" fillId="8" borderId="26" xfId="0" applyFont="1" applyFill="1" applyBorder="1" applyAlignment="1" applyProtection="1">
      <alignment horizontal="center" vertical="center"/>
      <protection hidden="1"/>
    </xf>
    <xf numFmtId="0" fontId="4" fillId="8" borderId="26" xfId="0" applyFont="1" applyFill="1" applyBorder="1" applyAlignment="1" applyProtection="1">
      <alignment horizontal="center" vertical="center"/>
      <protection hidden="1"/>
    </xf>
    <xf numFmtId="0" fontId="45" fillId="8" borderId="26" xfId="0" applyFont="1" applyFill="1" applyBorder="1" applyAlignment="1" applyProtection="1">
      <alignment horizontal="center" vertical="center"/>
      <protection locked="0" hidden="1"/>
    </xf>
    <xf numFmtId="0" fontId="4" fillId="7" borderId="26" xfId="0" applyFont="1" applyFill="1" applyBorder="1" applyAlignment="1" applyProtection="1">
      <alignment horizontal="center" vertical="center"/>
      <protection hidden="1"/>
    </xf>
    <xf numFmtId="0" fontId="4" fillId="7" borderId="28" xfId="0" applyFont="1" applyFill="1" applyBorder="1" applyAlignment="1" applyProtection="1">
      <alignment horizontal="center" vertical="center"/>
      <protection hidden="1"/>
    </xf>
    <xf numFmtId="0" fontId="1" fillId="2" borderId="5" xfId="0" applyFont="1" applyFill="1" applyBorder="1" applyAlignment="1" applyProtection="1">
      <alignment horizontal="center" vertical="center"/>
      <protection hidden="1"/>
    </xf>
    <xf numFmtId="0" fontId="39" fillId="2" borderId="5" xfId="0" applyFont="1" applyFill="1" applyBorder="1" applyAlignment="1" applyProtection="1">
      <alignment horizontal="center" vertical="center"/>
      <protection hidden="1"/>
    </xf>
    <xf numFmtId="0" fontId="17" fillId="7" borderId="5" xfId="0" applyFont="1" applyFill="1" applyBorder="1" applyAlignment="1" applyProtection="1">
      <alignment horizontal="center" vertical="center"/>
      <protection hidden="1"/>
    </xf>
    <xf numFmtId="0" fontId="18" fillId="7" borderId="6" xfId="0" applyFont="1" applyFill="1" applyBorder="1" applyAlignment="1" applyProtection="1">
      <alignment horizontal="center" vertical="center"/>
      <protection hidden="1"/>
    </xf>
    <xf numFmtId="0" fontId="1" fillId="8" borderId="46" xfId="0" applyFont="1" applyFill="1" applyBorder="1" applyAlignment="1" applyProtection="1">
      <alignment horizontal="center" vertical="center"/>
      <protection hidden="1"/>
    </xf>
    <xf numFmtId="0" fontId="1" fillId="8" borderId="11" xfId="0" applyFont="1" applyFill="1" applyBorder="1" applyAlignment="1" applyProtection="1">
      <alignment horizontal="center" vertical="center"/>
      <protection hidden="1"/>
    </xf>
    <xf numFmtId="0" fontId="35" fillId="8" borderId="11" xfId="0" applyFont="1" applyFill="1" applyBorder="1" applyAlignment="1" applyProtection="1">
      <alignment horizontal="center" vertical="center"/>
      <protection hidden="1"/>
    </xf>
    <xf numFmtId="0" fontId="4" fillId="8" borderId="11" xfId="0" applyFont="1" applyFill="1" applyBorder="1" applyAlignment="1" applyProtection="1">
      <alignment horizontal="center" vertical="center"/>
      <protection hidden="1"/>
    </xf>
    <xf numFmtId="0" fontId="45" fillId="8" borderId="11" xfId="0" applyFont="1" applyFill="1" applyBorder="1" applyAlignment="1" applyProtection="1">
      <alignment horizontal="center" vertical="center"/>
      <protection locked="0" hidden="1"/>
    </xf>
    <xf numFmtId="0" fontId="4" fillId="7" borderId="11" xfId="0" applyFont="1" applyFill="1" applyBorder="1" applyAlignment="1" applyProtection="1">
      <alignment horizontal="center" vertical="center"/>
      <protection hidden="1"/>
    </xf>
    <xf numFmtId="0" fontId="4" fillId="7" borderId="53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 vertical="center"/>
      <protection locked="0" hidden="1"/>
    </xf>
    <xf numFmtId="0" fontId="37" fillId="10" borderId="0" xfId="0" applyFont="1" applyFill="1" applyAlignment="1" applyProtection="1">
      <alignment vertical="center"/>
      <protection locked="0" hidden="1"/>
    </xf>
    <xf numFmtId="0" fontId="1" fillId="9" borderId="10" xfId="0" applyFont="1" applyFill="1" applyBorder="1" applyAlignment="1" applyProtection="1">
      <alignment vertical="center"/>
      <protection hidden="1"/>
    </xf>
    <xf numFmtId="0" fontId="48" fillId="2" borderId="0" xfId="0" applyFont="1" applyFill="1" applyProtection="1">
      <protection hidden="1"/>
    </xf>
    <xf numFmtId="0" fontId="49" fillId="2" borderId="0" xfId="0" applyFont="1" applyFill="1" applyAlignment="1" applyProtection="1">
      <alignment horizontal="center" vertical="top"/>
      <protection hidden="1"/>
    </xf>
    <xf numFmtId="0" fontId="3" fillId="20" borderId="30" xfId="0" applyFont="1" applyFill="1" applyBorder="1" applyAlignment="1" applyProtection="1">
      <alignment horizontal="center" vertical="center" textRotation="180"/>
      <protection hidden="1"/>
    </xf>
    <xf numFmtId="0" fontId="3" fillId="20" borderId="29" xfId="0" applyFont="1" applyFill="1" applyBorder="1" applyAlignment="1" applyProtection="1">
      <alignment horizontal="center" vertical="center"/>
      <protection hidden="1"/>
    </xf>
    <xf numFmtId="0" fontId="3" fillId="20" borderId="29" xfId="0" applyFont="1" applyFill="1" applyBorder="1" applyAlignment="1" applyProtection="1">
      <alignment horizontal="center" vertical="center" wrapText="1"/>
      <protection hidden="1"/>
    </xf>
    <xf numFmtId="0" fontId="3" fillId="20" borderId="36" xfId="0" applyFont="1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 applyProtection="1">
      <alignment horizontal="center" vertical="center" readingOrder="2"/>
      <protection hidden="1"/>
    </xf>
    <xf numFmtId="165" fontId="19" fillId="2" borderId="1" xfId="0" applyNumberFormat="1" applyFont="1" applyFill="1" applyBorder="1" applyAlignment="1" applyProtection="1">
      <alignment horizontal="center" vertical="center"/>
      <protection hidden="1"/>
    </xf>
    <xf numFmtId="166" fontId="19" fillId="2" borderId="1" xfId="1" applyNumberFormat="1" applyFont="1" applyFill="1" applyBorder="1" applyAlignment="1" applyProtection="1">
      <alignment horizontal="center" vertical="center"/>
      <protection hidden="1"/>
    </xf>
    <xf numFmtId="166" fontId="19" fillId="2" borderId="3" xfId="1" applyNumberFormat="1" applyFont="1" applyFill="1" applyBorder="1" applyAlignment="1" applyProtection="1">
      <alignment horizontal="center" vertical="center"/>
      <protection hidden="1"/>
    </xf>
    <xf numFmtId="0" fontId="0" fillId="5" borderId="2" xfId="0" applyFill="1" applyBorder="1" applyAlignment="1" applyProtection="1">
      <alignment horizontal="center" vertical="center"/>
      <protection hidden="1"/>
    </xf>
    <xf numFmtId="0" fontId="19" fillId="5" borderId="1" xfId="0" applyFont="1" applyFill="1" applyBorder="1" applyAlignment="1" applyProtection="1">
      <alignment horizontal="center" vertical="center"/>
      <protection hidden="1"/>
    </xf>
    <xf numFmtId="0" fontId="19" fillId="5" borderId="1" xfId="0" applyFont="1" applyFill="1" applyBorder="1" applyAlignment="1" applyProtection="1">
      <alignment horizontal="center" vertical="center" readingOrder="2"/>
      <protection hidden="1"/>
    </xf>
    <xf numFmtId="165" fontId="19" fillId="5" borderId="1" xfId="0" applyNumberFormat="1" applyFont="1" applyFill="1" applyBorder="1" applyAlignment="1" applyProtection="1">
      <alignment horizontal="center" vertical="center"/>
      <protection hidden="1"/>
    </xf>
    <xf numFmtId="166" fontId="19" fillId="5" borderId="1" xfId="1" applyNumberFormat="1" applyFont="1" applyFill="1" applyBorder="1" applyAlignment="1" applyProtection="1">
      <alignment horizontal="center" vertical="center"/>
      <protection hidden="1"/>
    </xf>
    <xf numFmtId="166" fontId="19" fillId="5" borderId="3" xfId="1" applyNumberFormat="1" applyFont="1" applyFill="1" applyBorder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center" vertical="center"/>
      <protection hidden="1"/>
    </xf>
    <xf numFmtId="0" fontId="19" fillId="2" borderId="5" xfId="0" applyFont="1" applyFill="1" applyBorder="1" applyAlignment="1" applyProtection="1">
      <alignment horizontal="center" vertical="center"/>
      <protection hidden="1"/>
    </xf>
    <xf numFmtId="0" fontId="19" fillId="2" borderId="5" xfId="0" applyFont="1" applyFill="1" applyBorder="1" applyAlignment="1" applyProtection="1">
      <alignment horizontal="center" vertical="center" readingOrder="2"/>
      <protection hidden="1"/>
    </xf>
    <xf numFmtId="165" fontId="19" fillId="2" borderId="5" xfId="0" applyNumberFormat="1" applyFont="1" applyFill="1" applyBorder="1" applyAlignment="1" applyProtection="1">
      <alignment horizontal="center" vertical="center"/>
      <protection hidden="1"/>
    </xf>
    <xf numFmtId="166" fontId="19" fillId="2" borderId="5" xfId="1" applyNumberFormat="1" applyFont="1" applyFill="1" applyBorder="1" applyAlignment="1" applyProtection="1">
      <alignment horizontal="center" vertical="center"/>
      <protection hidden="1"/>
    </xf>
    <xf numFmtId="166" fontId="19" fillId="2" borderId="6" xfId="1" applyNumberFormat="1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165" fontId="19" fillId="2" borderId="1" xfId="0" applyNumberFormat="1" applyFont="1" applyFill="1" applyBorder="1" applyAlignment="1" applyProtection="1">
      <alignment horizontal="center" vertical="center"/>
      <protection locked="0"/>
    </xf>
    <xf numFmtId="165" fontId="19" fillId="5" borderId="1" xfId="0" applyNumberFormat="1" applyFont="1" applyFill="1" applyBorder="1" applyAlignment="1" applyProtection="1">
      <alignment horizontal="center" vertical="center"/>
      <protection locked="0"/>
    </xf>
    <xf numFmtId="165" fontId="19" fillId="2" borderId="5" xfId="0" applyNumberFormat="1" applyFont="1" applyFill="1" applyBorder="1" applyAlignment="1" applyProtection="1">
      <alignment horizontal="center" vertical="center"/>
      <protection locked="0"/>
    </xf>
    <xf numFmtId="0" fontId="25" fillId="9" borderId="0" xfId="0" applyFont="1" applyFill="1" applyAlignment="1" applyProtection="1">
      <alignment horizontal="center" vertical="center" wrapText="1"/>
      <protection hidden="1"/>
    </xf>
    <xf numFmtId="0" fontId="28" fillId="12" borderId="41" xfId="0" applyFont="1" applyFill="1" applyBorder="1" applyAlignment="1" applyProtection="1">
      <alignment horizontal="center" vertical="center"/>
      <protection hidden="1"/>
    </xf>
    <xf numFmtId="0" fontId="28" fillId="12" borderId="55" xfId="0" applyFont="1" applyFill="1" applyBorder="1" applyAlignment="1" applyProtection="1">
      <alignment horizontal="center" vertical="center"/>
      <protection hidden="1"/>
    </xf>
    <xf numFmtId="0" fontId="28" fillId="12" borderId="48" xfId="0" applyFont="1" applyFill="1" applyBorder="1" applyAlignment="1" applyProtection="1">
      <alignment horizontal="center" vertical="center"/>
      <protection hidden="1"/>
    </xf>
    <xf numFmtId="0" fontId="28" fillId="12" borderId="44" xfId="0" applyFont="1" applyFill="1" applyBorder="1" applyAlignment="1" applyProtection="1">
      <alignment horizontal="center" vertical="center"/>
      <protection hidden="1"/>
    </xf>
    <xf numFmtId="0" fontId="28" fillId="12" borderId="56" xfId="0" applyFont="1" applyFill="1" applyBorder="1" applyAlignment="1" applyProtection="1">
      <alignment horizontal="center" vertical="center"/>
      <protection hidden="1"/>
    </xf>
    <xf numFmtId="0" fontId="28" fillId="12" borderId="39" xfId="0" applyFont="1" applyFill="1" applyBorder="1" applyAlignment="1" applyProtection="1">
      <alignment horizontal="center" vertical="center"/>
      <protection hidden="1"/>
    </xf>
    <xf numFmtId="14" fontId="28" fillId="12" borderId="41" xfId="0" applyNumberFormat="1" applyFont="1" applyFill="1" applyBorder="1" applyAlignment="1" applyProtection="1">
      <alignment horizontal="center" vertical="center"/>
      <protection hidden="1"/>
    </xf>
    <xf numFmtId="14" fontId="28" fillId="12" borderId="48" xfId="0" applyNumberFormat="1" applyFont="1" applyFill="1" applyBorder="1" applyAlignment="1" applyProtection="1">
      <alignment horizontal="center" vertical="center"/>
      <protection hidden="1"/>
    </xf>
    <xf numFmtId="14" fontId="28" fillId="12" borderId="44" xfId="0" applyNumberFormat="1" applyFont="1" applyFill="1" applyBorder="1" applyAlignment="1" applyProtection="1">
      <alignment horizontal="center" vertical="center"/>
      <protection hidden="1"/>
    </xf>
    <xf numFmtId="14" fontId="28" fillId="12" borderId="39" xfId="0" applyNumberFormat="1" applyFont="1" applyFill="1" applyBorder="1" applyAlignment="1" applyProtection="1">
      <alignment horizontal="center" vertical="center"/>
      <protection hidden="1"/>
    </xf>
    <xf numFmtId="0" fontId="43" fillId="0" borderId="0" xfId="0" applyFont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center" vertical="center"/>
      <protection hidden="1"/>
    </xf>
    <xf numFmtId="0" fontId="27" fillId="13" borderId="1" xfId="0" applyFont="1" applyFill="1" applyBorder="1" applyAlignment="1" applyProtection="1">
      <alignment horizontal="center" vertical="center"/>
      <protection hidden="1"/>
    </xf>
    <xf numFmtId="0" fontId="13" fillId="16" borderId="2" xfId="0" applyFont="1" applyFill="1" applyBorder="1" applyAlignment="1" applyProtection="1">
      <alignment horizontal="center" vertical="center"/>
      <protection hidden="1"/>
    </xf>
    <xf numFmtId="0" fontId="13" fillId="16" borderId="1" xfId="0" applyFont="1" applyFill="1" applyBorder="1" applyAlignment="1" applyProtection="1">
      <alignment horizontal="center" vertical="center"/>
      <protection hidden="1"/>
    </xf>
    <xf numFmtId="0" fontId="13" fillId="16" borderId="3" xfId="0" applyFont="1" applyFill="1" applyBorder="1" applyAlignment="1" applyProtection="1">
      <alignment horizontal="center" vertical="center"/>
      <protection hidden="1"/>
    </xf>
    <xf numFmtId="0" fontId="27" fillId="13" borderId="5" xfId="0" applyFont="1" applyFill="1" applyBorder="1" applyAlignment="1" applyProtection="1">
      <alignment horizontal="center" vertical="center"/>
      <protection hidden="1"/>
    </xf>
    <xf numFmtId="0" fontId="13" fillId="7" borderId="2" xfId="0" applyFont="1" applyFill="1" applyBorder="1" applyAlignment="1" applyProtection="1">
      <alignment horizontal="center" vertical="center"/>
      <protection hidden="1"/>
    </xf>
    <xf numFmtId="0" fontId="13" fillId="7" borderId="1" xfId="0" applyFont="1" applyFill="1" applyBorder="1" applyAlignment="1" applyProtection="1">
      <alignment horizontal="center" vertical="center"/>
      <protection hidden="1"/>
    </xf>
    <xf numFmtId="0" fontId="13" fillId="7" borderId="3" xfId="0" applyFont="1" applyFill="1" applyBorder="1" applyAlignment="1" applyProtection="1">
      <alignment horizontal="center" vertical="center"/>
      <protection hidden="1"/>
    </xf>
    <xf numFmtId="0" fontId="28" fillId="12" borderId="37" xfId="0" applyFont="1" applyFill="1" applyBorder="1" applyAlignment="1" applyProtection="1">
      <alignment horizontal="center" vertical="center"/>
      <protection hidden="1"/>
    </xf>
    <xf numFmtId="0" fontId="28" fillId="12" borderId="19" xfId="0" applyFont="1" applyFill="1" applyBorder="1" applyAlignment="1" applyProtection="1">
      <alignment horizontal="center" vertical="center"/>
      <protection hidden="1"/>
    </xf>
    <xf numFmtId="0" fontId="28" fillId="12" borderId="38" xfId="0" applyFont="1" applyFill="1" applyBorder="1" applyAlignment="1" applyProtection="1">
      <alignment horizontal="center" vertical="center"/>
      <protection hidden="1"/>
    </xf>
    <xf numFmtId="0" fontId="28" fillId="12" borderId="1" xfId="0" applyFont="1" applyFill="1" applyBorder="1" applyAlignment="1" applyProtection="1">
      <alignment horizontal="center" vertical="center"/>
      <protection hidden="1"/>
    </xf>
    <xf numFmtId="0" fontId="28" fillId="12" borderId="19" xfId="0" applyFont="1" applyFill="1" applyBorder="1" applyAlignment="1" applyProtection="1">
      <alignment horizontal="right" vertical="center"/>
      <protection hidden="1"/>
    </xf>
    <xf numFmtId="0" fontId="28" fillId="12" borderId="38" xfId="0" applyFont="1" applyFill="1" applyBorder="1" applyAlignment="1" applyProtection="1">
      <alignment horizontal="right" vertical="center"/>
      <protection hidden="1"/>
    </xf>
    <xf numFmtId="0" fontId="24" fillId="10" borderId="0" xfId="0" applyFont="1" applyFill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 vertical="center" wrapText="1"/>
      <protection locked="0" hidden="1"/>
    </xf>
    <xf numFmtId="0" fontId="3" fillId="11" borderId="36" xfId="0" applyFont="1" applyFill="1" applyBorder="1" applyAlignment="1" applyProtection="1">
      <alignment horizontal="center" vertical="center"/>
      <protection hidden="1"/>
    </xf>
    <xf numFmtId="0" fontId="3" fillId="11" borderId="28" xfId="0" applyFont="1" applyFill="1" applyBorder="1" applyAlignment="1" applyProtection="1">
      <alignment horizontal="center" vertical="center"/>
      <protection hidden="1"/>
    </xf>
    <xf numFmtId="0" fontId="3" fillId="11" borderId="3" xfId="0" applyFont="1" applyFill="1" applyBorder="1" applyAlignment="1" applyProtection="1">
      <alignment horizontal="center" vertical="center"/>
      <protection hidden="1"/>
    </xf>
    <xf numFmtId="0" fontId="13" fillId="11" borderId="30" xfId="0" applyFont="1" applyFill="1" applyBorder="1" applyAlignment="1" applyProtection="1">
      <alignment horizontal="center" vertical="center"/>
      <protection hidden="1"/>
    </xf>
    <xf numFmtId="0" fontId="13" fillId="11" borderId="29" xfId="0" applyFont="1" applyFill="1" applyBorder="1" applyAlignment="1" applyProtection="1">
      <alignment horizontal="center" vertical="center"/>
      <protection hidden="1"/>
    </xf>
    <xf numFmtId="0" fontId="13" fillId="11" borderId="36" xfId="0" applyFont="1" applyFill="1" applyBorder="1" applyAlignment="1" applyProtection="1">
      <alignment horizontal="center" vertical="center"/>
      <protection hidden="1"/>
    </xf>
    <xf numFmtId="0" fontId="13" fillId="11" borderId="2" xfId="0" applyFont="1" applyFill="1" applyBorder="1" applyAlignment="1" applyProtection="1">
      <alignment horizontal="center" vertical="center"/>
      <protection hidden="1"/>
    </xf>
    <xf numFmtId="0" fontId="13" fillId="11" borderId="1" xfId="0" applyFont="1" applyFill="1" applyBorder="1" applyAlignment="1" applyProtection="1">
      <alignment horizontal="center" vertical="center"/>
      <protection hidden="1"/>
    </xf>
    <xf numFmtId="0" fontId="13" fillId="11" borderId="3" xfId="0" applyFont="1" applyFill="1" applyBorder="1" applyAlignment="1" applyProtection="1">
      <alignment horizontal="center" vertical="center"/>
      <protection hidden="1"/>
    </xf>
    <xf numFmtId="0" fontId="3" fillId="11" borderId="30" xfId="0" applyFont="1" applyFill="1" applyBorder="1" applyAlignment="1" applyProtection="1">
      <alignment horizontal="center" vertical="center" textRotation="180"/>
      <protection hidden="1"/>
    </xf>
    <xf numFmtId="0" fontId="3" fillId="11" borderId="27" xfId="0" applyFont="1" applyFill="1" applyBorder="1" applyAlignment="1" applyProtection="1">
      <alignment horizontal="center" vertical="center" textRotation="180"/>
      <protection hidden="1"/>
    </xf>
    <xf numFmtId="0" fontId="3" fillId="11" borderId="2" xfId="0" applyFont="1" applyFill="1" applyBorder="1" applyAlignment="1" applyProtection="1">
      <alignment horizontal="center" vertical="center" textRotation="180"/>
      <protection hidden="1"/>
    </xf>
    <xf numFmtId="0" fontId="3" fillId="11" borderId="29" xfId="0" applyFont="1" applyFill="1" applyBorder="1" applyAlignment="1" applyProtection="1">
      <alignment horizontal="center" vertical="center"/>
      <protection hidden="1"/>
    </xf>
    <xf numFmtId="0" fontId="3" fillId="11" borderId="26" xfId="0" applyFont="1" applyFill="1" applyBorder="1" applyAlignment="1" applyProtection="1">
      <alignment horizontal="center" vertical="center"/>
      <protection hidden="1"/>
    </xf>
    <xf numFmtId="0" fontId="3" fillId="11" borderId="1" xfId="0" applyFont="1" applyFill="1" applyBorder="1" applyAlignment="1" applyProtection="1">
      <alignment horizontal="center" vertical="center"/>
      <protection hidden="1"/>
    </xf>
    <xf numFmtId="0" fontId="3" fillId="11" borderId="40" xfId="0" applyFont="1" applyFill="1" applyBorder="1" applyAlignment="1" applyProtection="1">
      <alignment horizontal="center" vertical="center" textRotation="180"/>
      <protection hidden="1"/>
    </xf>
    <xf numFmtId="0" fontId="3" fillId="11" borderId="31" xfId="0" applyFont="1" applyFill="1" applyBorder="1" applyAlignment="1" applyProtection="1">
      <alignment horizontal="center" vertical="center" textRotation="180"/>
      <protection hidden="1"/>
    </xf>
    <xf numFmtId="0" fontId="3" fillId="11" borderId="26" xfId="0" applyFont="1" applyFill="1" applyBorder="1" applyAlignment="1" applyProtection="1">
      <alignment horizontal="center" vertical="center" textRotation="180"/>
      <protection hidden="1"/>
    </xf>
    <xf numFmtId="0" fontId="3" fillId="11" borderId="42" xfId="0" applyFont="1" applyFill="1" applyBorder="1" applyAlignment="1" applyProtection="1">
      <alignment horizontal="center" vertical="center"/>
      <protection hidden="1"/>
    </xf>
    <xf numFmtId="0" fontId="3" fillId="11" borderId="43" xfId="0" applyFont="1" applyFill="1" applyBorder="1" applyAlignment="1" applyProtection="1">
      <alignment horizontal="center" vertical="center"/>
      <protection hidden="1"/>
    </xf>
    <xf numFmtId="0" fontId="3" fillId="11" borderId="44" xfId="0" applyFont="1" applyFill="1" applyBorder="1" applyAlignment="1" applyProtection="1">
      <alignment horizontal="center" vertical="center"/>
      <protection hidden="1"/>
    </xf>
    <xf numFmtId="0" fontId="3" fillId="11" borderId="39" xfId="0" applyFont="1" applyFill="1" applyBorder="1" applyAlignment="1" applyProtection="1">
      <alignment horizontal="center" vertical="center"/>
      <protection hidden="1"/>
    </xf>
    <xf numFmtId="0" fontId="3" fillId="11" borderId="29" xfId="0" applyFont="1" applyFill="1" applyBorder="1" applyAlignment="1" applyProtection="1">
      <alignment horizontal="center" vertical="center" textRotation="180" wrapText="1"/>
      <protection hidden="1"/>
    </xf>
    <xf numFmtId="0" fontId="3" fillId="11" borderId="26" xfId="0" applyFont="1" applyFill="1" applyBorder="1" applyAlignment="1" applyProtection="1">
      <alignment horizontal="center" vertical="center" textRotation="180" wrapText="1"/>
      <protection hidden="1"/>
    </xf>
    <xf numFmtId="0" fontId="3" fillId="11" borderId="1" xfId="0" applyFont="1" applyFill="1" applyBorder="1" applyAlignment="1" applyProtection="1">
      <alignment horizontal="center" vertical="center" textRotation="180" wrapText="1"/>
      <protection hidden="1"/>
    </xf>
    <xf numFmtId="0" fontId="24" fillId="10" borderId="0" xfId="0" applyFont="1" applyFill="1" applyAlignment="1" applyProtection="1">
      <alignment horizontal="center" vertical="center"/>
      <protection locked="0" hidden="1"/>
    </xf>
    <xf numFmtId="0" fontId="27" fillId="2" borderId="15" xfId="0" applyFont="1" applyFill="1" applyBorder="1" applyAlignment="1" applyProtection="1">
      <alignment horizontal="center"/>
      <protection hidden="1"/>
    </xf>
    <xf numFmtId="0" fontId="49" fillId="2" borderId="0" xfId="0" applyFont="1" applyFill="1" applyAlignment="1" applyProtection="1">
      <alignment horizontal="center" vertical="center"/>
      <protection hidden="1"/>
    </xf>
    <xf numFmtId="0" fontId="1" fillId="5" borderId="54" xfId="0" applyFont="1" applyFill="1" applyBorder="1" applyAlignment="1" applyProtection="1">
      <alignment horizontal="center" vertical="center" textRotation="180" wrapText="1"/>
      <protection hidden="1"/>
    </xf>
    <xf numFmtId="0" fontId="1" fillId="5" borderId="43" xfId="0" applyFont="1" applyFill="1" applyBorder="1" applyAlignment="1" applyProtection="1">
      <alignment horizontal="center" vertical="center" textRotation="180" wrapText="1"/>
      <protection hidden="1"/>
    </xf>
    <xf numFmtId="0" fontId="1" fillId="5" borderId="33" xfId="0" applyFont="1" applyFill="1" applyBorder="1" applyAlignment="1" applyProtection="1">
      <alignment horizontal="center" vertical="center" textRotation="180" wrapText="1"/>
      <protection hidden="1"/>
    </xf>
    <xf numFmtId="0" fontId="1" fillId="5" borderId="45" xfId="0" applyFont="1" applyFill="1" applyBorder="1" applyAlignment="1" applyProtection="1">
      <alignment horizontal="center" vertical="center" textRotation="180" wrapText="1"/>
      <protection hidden="1"/>
    </xf>
    <xf numFmtId="0" fontId="1" fillId="5" borderId="49" xfId="0" applyFont="1" applyFill="1" applyBorder="1" applyAlignment="1" applyProtection="1">
      <alignment horizontal="center" vertical="center" textRotation="180" wrapText="1"/>
      <protection hidden="1"/>
    </xf>
    <xf numFmtId="0" fontId="1" fillId="5" borderId="50" xfId="0" applyFont="1" applyFill="1" applyBorder="1" applyAlignment="1" applyProtection="1">
      <alignment horizontal="center" vertical="center" textRotation="180" wrapText="1"/>
      <protection hidden="1"/>
    </xf>
    <xf numFmtId="0" fontId="16" fillId="7" borderId="40" xfId="0" applyFont="1" applyFill="1" applyBorder="1" applyAlignment="1" applyProtection="1">
      <alignment horizontal="center" vertical="center"/>
      <protection locked="0" hidden="1"/>
    </xf>
    <xf numFmtId="0" fontId="16" fillId="7" borderId="26" xfId="0" applyFont="1" applyFill="1" applyBorder="1" applyAlignment="1" applyProtection="1">
      <alignment horizontal="center" vertical="center"/>
      <protection locked="0" hidden="1"/>
    </xf>
    <xf numFmtId="0" fontId="16" fillId="18" borderId="11" xfId="0" applyFont="1" applyFill="1" applyBorder="1" applyAlignment="1" applyProtection="1">
      <alignment horizontal="center" vertical="center"/>
      <protection locked="0" hidden="1"/>
    </xf>
    <xf numFmtId="0" fontId="16" fillId="18" borderId="26" xfId="0" applyFont="1" applyFill="1" applyBorder="1" applyAlignment="1" applyProtection="1">
      <alignment horizontal="center" vertical="center"/>
      <protection locked="0" hidden="1"/>
    </xf>
    <xf numFmtId="0" fontId="16" fillId="19" borderId="11" xfId="0" applyFont="1" applyFill="1" applyBorder="1" applyAlignment="1" applyProtection="1">
      <alignment horizontal="center" vertical="center"/>
      <protection locked="0" hidden="1"/>
    </xf>
    <xf numFmtId="0" fontId="16" fillId="19" borderId="32" xfId="0" applyFont="1" applyFill="1" applyBorder="1" applyAlignment="1" applyProtection="1">
      <alignment horizontal="center" vertical="center"/>
      <protection locked="0" hidden="1"/>
    </xf>
    <xf numFmtId="0" fontId="15" fillId="2" borderId="40" xfId="0" applyFont="1" applyFill="1" applyBorder="1" applyAlignment="1" applyProtection="1">
      <alignment horizontal="center" vertical="center"/>
      <protection hidden="1"/>
    </xf>
    <xf numFmtId="0" fontId="15" fillId="2" borderId="26" xfId="0" applyFont="1" applyFill="1" applyBorder="1" applyAlignment="1" applyProtection="1">
      <alignment horizontal="center" vertical="center"/>
      <protection hidden="1"/>
    </xf>
    <xf numFmtId="0" fontId="14" fillId="7" borderId="42" xfId="0" applyFont="1" applyFill="1" applyBorder="1" applyAlignment="1" applyProtection="1">
      <alignment horizontal="center" vertical="center"/>
      <protection hidden="1"/>
    </xf>
    <xf numFmtId="0" fontId="14" fillId="7" borderId="43" xfId="0" applyFont="1" applyFill="1" applyBorder="1" applyAlignment="1" applyProtection="1">
      <alignment horizontal="center" vertical="center"/>
      <protection hidden="1"/>
    </xf>
    <xf numFmtId="0" fontId="14" fillId="7" borderId="44" xfId="0" applyFont="1" applyFill="1" applyBorder="1" applyAlignment="1" applyProtection="1">
      <alignment horizontal="center" vertical="center"/>
      <protection hidden="1"/>
    </xf>
    <xf numFmtId="0" fontId="14" fillId="7" borderId="39" xfId="0" applyFont="1" applyFill="1" applyBorder="1" applyAlignment="1" applyProtection="1">
      <alignment horizontal="center" vertical="center"/>
      <protection hidden="1"/>
    </xf>
    <xf numFmtId="0" fontId="14" fillId="18" borderId="41" xfId="0" applyFont="1" applyFill="1" applyBorder="1" applyAlignment="1" applyProtection="1">
      <alignment horizontal="center" vertical="center"/>
      <protection hidden="1"/>
    </xf>
    <xf numFmtId="0" fontId="14" fillId="18" borderId="48" xfId="0" applyFont="1" applyFill="1" applyBorder="1" applyAlignment="1" applyProtection="1">
      <alignment horizontal="center" vertical="center"/>
      <protection hidden="1"/>
    </xf>
    <xf numFmtId="0" fontId="14" fillId="18" borderId="44" xfId="0" applyFont="1" applyFill="1" applyBorder="1" applyAlignment="1" applyProtection="1">
      <alignment horizontal="center" vertical="center"/>
      <protection hidden="1"/>
    </xf>
    <xf numFmtId="0" fontId="14" fillId="18" borderId="39" xfId="0" applyFont="1" applyFill="1" applyBorder="1" applyAlignment="1" applyProtection="1">
      <alignment horizontal="center" vertical="center"/>
      <protection hidden="1"/>
    </xf>
    <xf numFmtId="0" fontId="14" fillId="19" borderId="41" xfId="0" applyFont="1" applyFill="1" applyBorder="1" applyAlignment="1" applyProtection="1">
      <alignment horizontal="center" vertical="center"/>
      <protection hidden="1"/>
    </xf>
    <xf numFmtId="0" fontId="14" fillId="19" borderId="48" xfId="0" applyFont="1" applyFill="1" applyBorder="1" applyAlignment="1" applyProtection="1">
      <alignment horizontal="center" vertical="center"/>
      <protection hidden="1"/>
    </xf>
    <xf numFmtId="0" fontId="14" fillId="19" borderId="51" xfId="0" applyFont="1" applyFill="1" applyBorder="1" applyAlignment="1" applyProtection="1">
      <alignment horizontal="center" vertical="center"/>
      <protection hidden="1"/>
    </xf>
    <xf numFmtId="0" fontId="14" fillId="19" borderId="50" xfId="0" applyFont="1" applyFill="1" applyBorder="1" applyAlignment="1" applyProtection="1">
      <alignment horizontal="center" vertical="center"/>
      <protection hidden="1"/>
    </xf>
    <xf numFmtId="0" fontId="14" fillId="7" borderId="40" xfId="0" applyFont="1" applyFill="1" applyBorder="1" applyAlignment="1" applyProtection="1">
      <alignment horizontal="center" vertical="center"/>
      <protection hidden="1"/>
    </xf>
    <xf numFmtId="0" fontId="14" fillId="7" borderId="26" xfId="0" applyFont="1" applyFill="1" applyBorder="1" applyAlignment="1" applyProtection="1">
      <alignment horizontal="center" vertical="center"/>
      <protection hidden="1"/>
    </xf>
    <xf numFmtId="0" fontId="14" fillId="19" borderId="11" xfId="0" applyFont="1" applyFill="1" applyBorder="1" applyAlignment="1" applyProtection="1">
      <alignment horizontal="center" vertical="center"/>
      <protection hidden="1"/>
    </xf>
    <xf numFmtId="0" fontId="14" fillId="19" borderId="32" xfId="0" applyFont="1" applyFill="1" applyBorder="1" applyAlignment="1" applyProtection="1">
      <alignment horizontal="center" vertical="center"/>
      <protection hidden="1"/>
    </xf>
    <xf numFmtId="0" fontId="14" fillId="18" borderId="11" xfId="0" applyFont="1" applyFill="1" applyBorder="1" applyAlignment="1" applyProtection="1">
      <alignment horizontal="center" vertical="center"/>
      <protection hidden="1"/>
    </xf>
    <xf numFmtId="0" fontId="14" fillId="18" borderId="26" xfId="0" applyFont="1" applyFill="1" applyBorder="1" applyAlignment="1" applyProtection="1">
      <alignment horizontal="center" vertical="center"/>
      <protection hidden="1"/>
    </xf>
    <xf numFmtId="0" fontId="15" fillId="2" borderId="1" xfId="0" applyFont="1" applyFill="1" applyBorder="1" applyAlignment="1" applyProtection="1">
      <alignment horizontal="center" vertical="center"/>
      <protection hidden="1"/>
    </xf>
    <xf numFmtId="0" fontId="15" fillId="2" borderId="11" xfId="0" applyFont="1" applyFill="1" applyBorder="1" applyAlignment="1" applyProtection="1">
      <alignment horizontal="center" vertical="center"/>
      <protection hidden="1"/>
    </xf>
    <xf numFmtId="0" fontId="15" fillId="2" borderId="32" xfId="0" applyFont="1" applyFill="1" applyBorder="1" applyAlignment="1" applyProtection="1">
      <alignment horizontal="center" vertical="center"/>
      <protection hidden="1"/>
    </xf>
    <xf numFmtId="0" fontId="1" fillId="2" borderId="37" xfId="0" applyFont="1" applyFill="1" applyBorder="1" applyAlignment="1" applyProtection="1">
      <alignment horizontal="center" vertical="center"/>
      <protection hidden="1"/>
    </xf>
    <xf numFmtId="0" fontId="1" fillId="2" borderId="38" xfId="0" applyFont="1" applyFill="1" applyBorder="1" applyAlignment="1" applyProtection="1">
      <alignment horizontal="center" vertical="center"/>
      <protection hidden="1"/>
    </xf>
    <xf numFmtId="0" fontId="1" fillId="2" borderId="11" xfId="0" applyFont="1" applyFill="1" applyBorder="1" applyAlignment="1" applyProtection="1">
      <alignment horizontal="center" vertical="center" wrapText="1"/>
      <protection hidden="1"/>
    </xf>
    <xf numFmtId="0" fontId="1" fillId="2" borderId="31" xfId="0" applyFont="1" applyFill="1" applyBorder="1" applyAlignment="1" applyProtection="1">
      <alignment horizontal="center" vertical="center" wrapText="1"/>
      <protection hidden="1"/>
    </xf>
    <xf numFmtId="0" fontId="1" fillId="2" borderId="32" xfId="0" applyFont="1" applyFill="1" applyBorder="1" applyAlignment="1" applyProtection="1">
      <alignment horizontal="center" vertical="center" wrapText="1"/>
      <protection hidden="1"/>
    </xf>
    <xf numFmtId="0" fontId="1" fillId="2" borderId="11" xfId="0" applyFont="1" applyFill="1" applyBorder="1" applyAlignment="1" applyProtection="1">
      <alignment horizontal="center" vertical="center" textRotation="180"/>
      <protection hidden="1"/>
    </xf>
    <xf numFmtId="0" fontId="1" fillId="2" borderId="32" xfId="0" applyFont="1" applyFill="1" applyBorder="1" applyAlignment="1" applyProtection="1">
      <alignment horizontal="center" vertical="center" textRotation="180"/>
      <protection hidden="1"/>
    </xf>
    <xf numFmtId="0" fontId="1" fillId="9" borderId="10" xfId="0" applyFont="1" applyFill="1" applyBorder="1" applyAlignment="1" applyProtection="1">
      <alignment horizontal="center" vertical="center"/>
      <protection hidden="1"/>
    </xf>
    <xf numFmtId="0" fontId="1" fillId="9" borderId="9" xfId="0" applyFont="1" applyFill="1" applyBorder="1" applyAlignment="1" applyProtection="1">
      <alignment horizontal="center" vertical="center"/>
      <protection hidden="1"/>
    </xf>
    <xf numFmtId="0" fontId="1" fillId="9" borderId="29" xfId="0" applyFont="1" applyFill="1" applyBorder="1" applyAlignment="1" applyProtection="1">
      <alignment horizontal="left" vertical="center"/>
      <protection hidden="1"/>
    </xf>
    <xf numFmtId="0" fontId="1" fillId="9" borderId="7" xfId="0" applyFont="1" applyFill="1" applyBorder="1" applyAlignment="1" applyProtection="1">
      <alignment horizontal="left" vertical="center"/>
      <protection hidden="1"/>
    </xf>
    <xf numFmtId="0" fontId="0" fillId="2" borderId="1" xfId="0" applyFill="1" applyBorder="1" applyAlignment="1" applyProtection="1">
      <alignment horizontal="center" vertical="center" textRotation="180"/>
      <protection hidden="1"/>
    </xf>
    <xf numFmtId="0" fontId="0" fillId="2" borderId="3" xfId="0" applyFill="1" applyBorder="1" applyAlignment="1" applyProtection="1">
      <alignment horizontal="center" vertical="center" textRotation="180"/>
      <protection hidden="1"/>
    </xf>
    <xf numFmtId="0" fontId="1" fillId="9" borderId="7" xfId="0" applyFont="1" applyFill="1" applyBorder="1" applyAlignment="1" applyProtection="1">
      <alignment horizontal="center" vertical="center"/>
      <protection hidden="1"/>
    </xf>
    <xf numFmtId="0" fontId="1" fillId="9" borderId="18" xfId="0" applyFont="1" applyFill="1" applyBorder="1" applyAlignment="1" applyProtection="1">
      <alignment horizontal="center" vertical="center"/>
      <protection hidden="1"/>
    </xf>
    <xf numFmtId="0" fontId="46" fillId="2" borderId="29" xfId="0" applyFont="1" applyFill="1" applyBorder="1" applyAlignment="1" applyProtection="1">
      <alignment horizontal="right" vertical="center" wrapText="1"/>
      <protection hidden="1"/>
    </xf>
    <xf numFmtId="0" fontId="46" fillId="2" borderId="29" xfId="0" applyFont="1" applyFill="1" applyBorder="1" applyAlignment="1" applyProtection="1">
      <alignment horizontal="right" vertical="center"/>
      <protection hidden="1"/>
    </xf>
    <xf numFmtId="0" fontId="46" fillId="2" borderId="36" xfId="0" applyFont="1" applyFill="1" applyBorder="1" applyAlignment="1" applyProtection="1">
      <alignment horizontal="right" vertical="center"/>
      <protection hidden="1"/>
    </xf>
    <xf numFmtId="0" fontId="46" fillId="2" borderId="1" xfId="0" applyFont="1" applyFill="1" applyBorder="1" applyAlignment="1" applyProtection="1">
      <alignment horizontal="right" vertical="center"/>
      <protection hidden="1"/>
    </xf>
    <xf numFmtId="0" fontId="46" fillId="2" borderId="3" xfId="0" applyFont="1" applyFill="1" applyBorder="1" applyAlignment="1" applyProtection="1">
      <alignment horizontal="right" vertical="center"/>
      <protection hidden="1"/>
    </xf>
    <xf numFmtId="0" fontId="46" fillId="2" borderId="5" xfId="0" applyFont="1" applyFill="1" applyBorder="1" applyAlignment="1" applyProtection="1">
      <alignment horizontal="right" vertical="center"/>
      <protection hidden="1"/>
    </xf>
    <xf numFmtId="0" fontId="46" fillId="2" borderId="6" xfId="0" applyFont="1" applyFill="1" applyBorder="1" applyAlignment="1" applyProtection="1">
      <alignment horizontal="right" vertical="center"/>
      <protection hidden="1"/>
    </xf>
    <xf numFmtId="0" fontId="31" fillId="2" borderId="46" xfId="0" applyFont="1" applyFill="1" applyBorder="1" applyAlignment="1" applyProtection="1">
      <alignment horizontal="center" vertical="center" textRotation="180"/>
      <protection hidden="1"/>
    </xf>
    <xf numFmtId="0" fontId="31" fillId="2" borderId="47" xfId="0" applyFont="1" applyFill="1" applyBorder="1" applyAlignment="1" applyProtection="1">
      <alignment horizontal="center" vertical="center" textRotation="180"/>
      <protection hidden="1"/>
    </xf>
    <xf numFmtId="0" fontId="31" fillId="2" borderId="52" xfId="0" applyFont="1" applyFill="1" applyBorder="1" applyAlignment="1" applyProtection="1">
      <alignment horizontal="center" vertical="center" textRotation="180"/>
      <protection hidden="1"/>
    </xf>
    <xf numFmtId="0" fontId="1" fillId="9" borderId="17" xfId="0" applyFont="1" applyFill="1" applyBorder="1" applyAlignment="1" applyProtection="1">
      <alignment horizontal="center" vertical="center"/>
      <protection hidden="1"/>
    </xf>
    <xf numFmtId="0" fontId="50" fillId="2" borderId="0" xfId="0" applyFont="1" applyFill="1" applyAlignment="1" applyProtection="1">
      <alignment horizontal="center" vertical="top"/>
      <protection hidden="1"/>
    </xf>
    <xf numFmtId="0" fontId="40" fillId="2" borderId="1" xfId="0" applyFont="1" applyFill="1" applyBorder="1" applyAlignment="1" applyProtection="1">
      <alignment horizontal="center" vertical="center" wrapText="1"/>
      <protection hidden="1"/>
    </xf>
    <xf numFmtId="0" fontId="40" fillId="2" borderId="5" xfId="0" applyFont="1" applyFill="1" applyBorder="1" applyAlignment="1" applyProtection="1">
      <alignment horizontal="center" vertical="center" wrapText="1"/>
      <protection hidden="1"/>
    </xf>
    <xf numFmtId="0" fontId="40" fillId="2" borderId="3" xfId="0" applyFont="1" applyFill="1" applyBorder="1" applyAlignment="1" applyProtection="1">
      <alignment horizontal="center" vertical="center" wrapText="1"/>
      <protection hidden="1"/>
    </xf>
    <xf numFmtId="0" fontId="40" fillId="2" borderId="6" xfId="0" applyFont="1" applyFill="1" applyBorder="1" applyAlignment="1" applyProtection="1">
      <alignment horizontal="center" vertical="center" wrapText="1"/>
      <protection hidden="1"/>
    </xf>
    <xf numFmtId="0" fontId="50" fillId="2" borderId="0" xfId="0" applyFont="1" applyFill="1" applyAlignment="1" applyProtection="1">
      <alignment horizontal="center" vertical="center"/>
      <protection hidden="1"/>
    </xf>
    <xf numFmtId="0" fontId="40" fillId="2" borderId="2" xfId="0" applyFont="1" applyFill="1" applyBorder="1" applyAlignment="1" applyProtection="1">
      <alignment horizontal="center" vertical="center"/>
      <protection hidden="1"/>
    </xf>
    <xf numFmtId="0" fontId="40" fillId="2" borderId="1" xfId="0" applyFont="1" applyFill="1" applyBorder="1" applyAlignment="1" applyProtection="1">
      <alignment horizontal="center" vertical="center"/>
      <protection hidden="1"/>
    </xf>
    <xf numFmtId="0" fontId="40" fillId="2" borderId="4" xfId="0" applyFont="1" applyFill="1" applyBorder="1" applyAlignment="1" applyProtection="1">
      <alignment horizontal="center" vertical="center"/>
      <protection hidden="1"/>
    </xf>
    <xf numFmtId="0" fontId="40" fillId="2" borderId="5" xfId="0" applyFont="1" applyFill="1" applyBorder="1" applyAlignment="1" applyProtection="1">
      <alignment horizontal="center" vertical="center"/>
      <protection hidden="1"/>
    </xf>
    <xf numFmtId="0" fontId="41" fillId="14" borderId="29" xfId="0" applyFont="1" applyFill="1" applyBorder="1" applyAlignment="1" applyProtection="1">
      <alignment horizontal="center" vertical="center"/>
      <protection hidden="1"/>
    </xf>
    <xf numFmtId="0" fontId="41" fillId="14" borderId="36" xfId="0" applyFont="1" applyFill="1" applyBorder="1" applyAlignment="1" applyProtection="1">
      <alignment horizontal="center" vertical="center"/>
      <protection hidden="1"/>
    </xf>
    <xf numFmtId="0" fontId="42" fillId="14" borderId="1" xfId="0" applyFont="1" applyFill="1" applyBorder="1" applyAlignment="1" applyProtection="1">
      <alignment horizontal="center" vertical="center"/>
      <protection hidden="1"/>
    </xf>
    <xf numFmtId="0" fontId="42" fillId="14" borderId="3" xfId="0" applyFont="1" applyFill="1" applyBorder="1" applyAlignment="1" applyProtection="1">
      <alignment horizontal="center" vertical="center"/>
      <protection hidden="1"/>
    </xf>
    <xf numFmtId="0" fontId="40" fillId="2" borderId="37" xfId="0" applyFont="1" applyFill="1" applyBorder="1" applyAlignment="1" applyProtection="1">
      <alignment horizontal="center" vertical="center" wrapText="1"/>
      <protection hidden="1"/>
    </xf>
    <xf numFmtId="0" fontId="40" fillId="2" borderId="19" xfId="0" applyFont="1" applyFill="1" applyBorder="1" applyAlignment="1" applyProtection="1">
      <alignment horizontal="center" vertical="center" wrapText="1"/>
      <protection hidden="1"/>
    </xf>
    <xf numFmtId="0" fontId="40" fillId="2" borderId="38" xfId="0" applyFont="1" applyFill="1" applyBorder="1" applyAlignment="1" applyProtection="1">
      <alignment horizontal="center" vertical="center" wrapText="1"/>
      <protection hidden="1"/>
    </xf>
    <xf numFmtId="0" fontId="30" fillId="14" borderId="29" xfId="0" applyFont="1" applyFill="1" applyBorder="1" applyAlignment="1" applyProtection="1">
      <alignment horizontal="center" vertical="center" textRotation="180" wrapText="1"/>
      <protection hidden="1"/>
    </xf>
    <xf numFmtId="0" fontId="30" fillId="14" borderId="1" xfId="0" applyFont="1" applyFill="1" applyBorder="1" applyAlignment="1" applyProtection="1">
      <alignment horizontal="center" vertical="center" textRotation="180" wrapText="1"/>
      <protection hidden="1"/>
    </xf>
    <xf numFmtId="0" fontId="30" fillId="2" borderId="0" xfId="0" applyFont="1" applyFill="1" applyAlignment="1" applyProtection="1">
      <alignment horizontal="center"/>
      <protection hidden="1"/>
    </xf>
    <xf numFmtId="0" fontId="30" fillId="2" borderId="34" xfId="0" applyFont="1" applyFill="1" applyBorder="1" applyAlignment="1" applyProtection="1">
      <alignment horizontal="center"/>
      <protection hidden="1"/>
    </xf>
    <xf numFmtId="0" fontId="30" fillId="2" borderId="0" xfId="0" applyFont="1" applyFill="1" applyAlignment="1" applyProtection="1">
      <alignment horizontal="center" vertical="center" wrapText="1"/>
      <protection hidden="1"/>
    </xf>
    <xf numFmtId="0" fontId="30" fillId="14" borderId="30" xfId="0" applyFont="1" applyFill="1" applyBorder="1" applyAlignment="1" applyProtection="1">
      <alignment horizontal="center" vertical="center" wrapText="1"/>
      <protection hidden="1"/>
    </xf>
    <xf numFmtId="0" fontId="30" fillId="14" borderId="29" xfId="0" applyFont="1" applyFill="1" applyBorder="1" applyAlignment="1" applyProtection="1">
      <alignment horizontal="center" vertical="center" wrapText="1"/>
      <protection hidden="1"/>
    </xf>
    <xf numFmtId="0" fontId="30" fillId="14" borderId="2" xfId="0" applyFont="1" applyFill="1" applyBorder="1" applyAlignment="1" applyProtection="1">
      <alignment horizontal="center" vertical="center" wrapText="1"/>
      <protection hidden="1"/>
    </xf>
    <xf numFmtId="0" fontId="30" fillId="14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1" fontId="7" fillId="17" borderId="20" xfId="0" applyNumberFormat="1" applyFont="1" applyFill="1" applyBorder="1" applyAlignment="1" applyProtection="1">
      <alignment horizontal="center" vertical="center"/>
      <protection hidden="1"/>
    </xf>
    <xf numFmtId="1" fontId="7" fillId="17" borderId="24" xfId="0" applyNumberFormat="1" applyFont="1" applyFill="1" applyBorder="1" applyAlignment="1" applyProtection="1">
      <alignment horizontal="center" vertical="center"/>
      <protection hidden="1"/>
    </xf>
    <xf numFmtId="1" fontId="7" fillId="17" borderId="22" xfId="0" applyNumberFormat="1" applyFont="1" applyFill="1" applyBorder="1" applyAlignment="1" applyProtection="1">
      <alignment horizontal="center" vertical="center"/>
      <protection hidden="1"/>
    </xf>
    <xf numFmtId="1" fontId="7" fillId="17" borderId="25" xfId="0" applyNumberFormat="1" applyFont="1" applyFill="1" applyBorder="1" applyAlignment="1" applyProtection="1">
      <alignment horizontal="center" vertical="center"/>
      <protection hidden="1"/>
    </xf>
    <xf numFmtId="0" fontId="3" fillId="2" borderId="15" xfId="0" applyFont="1" applyFill="1" applyBorder="1" applyAlignment="1" applyProtection="1">
      <alignment horizontal="center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3" fillId="6" borderId="12" xfId="0" applyFont="1" applyFill="1" applyBorder="1" applyAlignment="1" applyProtection="1">
      <alignment horizontal="center" vertical="center"/>
      <protection hidden="1"/>
    </xf>
    <xf numFmtId="0" fontId="3" fillId="6" borderId="13" xfId="0" applyFont="1" applyFill="1" applyBorder="1" applyAlignment="1" applyProtection="1">
      <alignment horizontal="center" vertical="center"/>
      <protection hidden="1"/>
    </xf>
    <xf numFmtId="165" fontId="7" fillId="17" borderId="14" xfId="0" applyNumberFormat="1" applyFont="1" applyFill="1" applyBorder="1" applyAlignment="1" applyProtection="1">
      <alignment horizontal="center" vertical="center"/>
      <protection hidden="1"/>
    </xf>
    <xf numFmtId="165" fontId="7" fillId="17" borderId="8" xfId="0" applyNumberFormat="1" applyFont="1" applyFill="1" applyBorder="1" applyAlignment="1" applyProtection="1">
      <alignment horizontal="center" vertical="center"/>
      <protection hidden="1"/>
    </xf>
    <xf numFmtId="2" fontId="3" fillId="6" borderId="12" xfId="0" applyNumberFormat="1" applyFont="1" applyFill="1" applyBorder="1" applyAlignment="1" applyProtection="1">
      <alignment horizontal="center" vertical="center" wrapText="1"/>
      <protection hidden="1"/>
    </xf>
    <xf numFmtId="2" fontId="3" fillId="6" borderId="13" xfId="0" applyNumberFormat="1" applyFont="1" applyFill="1" applyBorder="1" applyAlignment="1" applyProtection="1">
      <alignment horizontal="center" vertical="center" wrapText="1"/>
      <protection hidden="1"/>
    </xf>
    <xf numFmtId="1" fontId="7" fillId="17" borderId="21" xfId="0" applyNumberFormat="1" applyFont="1" applyFill="1" applyBorder="1" applyAlignment="1" applyProtection="1">
      <alignment horizontal="center" vertical="center"/>
      <protection hidden="1"/>
    </xf>
    <xf numFmtId="1" fontId="7" fillId="17" borderId="23" xfId="0" applyNumberFormat="1" applyFont="1" applyFill="1" applyBorder="1" applyAlignment="1" applyProtection="1">
      <alignment horizontal="center" vertical="center"/>
      <protection hidden="1"/>
    </xf>
    <xf numFmtId="0" fontId="44" fillId="2" borderId="0" xfId="0" applyFont="1" applyFill="1" applyAlignment="1" applyProtection="1">
      <alignment horizontal="center"/>
      <protection hidden="1"/>
    </xf>
    <xf numFmtId="0" fontId="1" fillId="4" borderId="10" xfId="0" applyFont="1" applyFill="1" applyBorder="1" applyAlignment="1" applyProtection="1">
      <alignment horizontal="right" vertical="center"/>
      <protection hidden="1"/>
    </xf>
    <xf numFmtId="0" fontId="1" fillId="4" borderId="9" xfId="0" applyFont="1" applyFill="1" applyBorder="1" applyAlignment="1" applyProtection="1">
      <alignment horizontal="right" vertical="center"/>
      <protection hidden="1"/>
    </xf>
    <xf numFmtId="0" fontId="1" fillId="4" borderId="17" xfId="0" applyFont="1" applyFill="1" applyBorder="1" applyAlignment="1" applyProtection="1">
      <alignment horizontal="left" vertical="center"/>
      <protection hidden="1"/>
    </xf>
    <xf numFmtId="0" fontId="1" fillId="4" borderId="10" xfId="0" applyFont="1" applyFill="1" applyBorder="1" applyAlignment="1" applyProtection="1">
      <alignment horizontal="left" vertical="center"/>
      <protection hidden="1"/>
    </xf>
    <xf numFmtId="0" fontId="3" fillId="6" borderId="16" xfId="0" applyFont="1" applyFill="1" applyBorder="1" applyAlignment="1" applyProtection="1">
      <alignment horizontal="center" vertical="center"/>
      <protection hidden="1"/>
    </xf>
    <xf numFmtId="0" fontId="1" fillId="6" borderId="12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center" vertical="center"/>
      <protection hidden="1"/>
    </xf>
    <xf numFmtId="0" fontId="1" fillId="6" borderId="13" xfId="0" applyFont="1" applyFill="1" applyBorder="1" applyAlignment="1" applyProtection="1">
      <alignment horizontal="center" vertical="center"/>
      <protection hidden="1"/>
    </xf>
    <xf numFmtId="0" fontId="51" fillId="2" borderId="0" xfId="0" applyFont="1" applyFill="1" applyAlignment="1" applyProtection="1">
      <alignment horizontal="center" vertical="center"/>
      <protection hidden="1"/>
    </xf>
    <xf numFmtId="0" fontId="31" fillId="2" borderId="0" xfId="0" applyFont="1" applyFill="1" applyAlignment="1" applyProtection="1">
      <alignment horizontal="center" vertical="top"/>
      <protection hidden="1"/>
    </xf>
    <xf numFmtId="0" fontId="31" fillId="2" borderId="34" xfId="0" applyFont="1" applyFill="1" applyBorder="1" applyAlignment="1" applyProtection="1">
      <alignment horizontal="center" vertical="top"/>
      <protection hidden="1"/>
    </xf>
    <xf numFmtId="0" fontId="50" fillId="2" borderId="35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right" vertical="center"/>
      <protection hidden="1"/>
    </xf>
    <xf numFmtId="0" fontId="32" fillId="14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</cellXfs>
  <cellStyles count="2">
    <cellStyle name="Comma" xfId="1" builtinId="3"/>
    <cellStyle name="Normal" xfId="0" builtinId="0"/>
  </cellStyles>
  <dxfs count="48"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ont>
        <b/>
        <i val="0"/>
        <u val="none"/>
        <color rgb="FFFFFF00"/>
      </font>
      <fill>
        <patternFill patternType="solid">
          <bgColor rgb="FFFF0000"/>
        </patternFill>
      </fill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/>
        <bottom/>
      </border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/>
        <top/>
        <bottom/>
        <vertical/>
        <horizontal/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FFFF00"/>
      </font>
      <fill>
        <patternFill>
          <bgColor rgb="FFFF0000"/>
        </patternFill>
      </fill>
    </dxf>
    <dxf>
      <font>
        <b/>
        <i val="0"/>
        <u val="none"/>
        <color rgb="FFFFFF00"/>
      </font>
      <fill>
        <patternFill patternType="solid">
          <bgColor rgb="FFFF0000"/>
        </patternFill>
      </fill>
    </dxf>
    <dxf>
      <fill>
        <patternFill>
          <bgColor theme="4" tint="0.79998168889431442"/>
        </patternFill>
      </fill>
    </dxf>
    <dxf>
      <fill>
        <patternFill patternType="gray0625">
          <bgColor theme="4" tint="0.59996337778862885"/>
        </patternFill>
      </fill>
    </dxf>
    <dxf>
      <fill>
        <patternFill patternType="gray0625">
          <bgColor theme="4" tint="0.59996337778862885"/>
        </patternFill>
      </fill>
    </dxf>
    <dxf>
      <fill>
        <patternFill patternType="gray0625">
          <bgColor theme="4" tint="0.59996337778862885"/>
        </patternFill>
      </fill>
    </dxf>
    <dxf>
      <fill>
        <patternFill patternType="gray0625">
          <bgColor theme="4" tint="0.59996337778862885"/>
        </patternFill>
      </fill>
    </dxf>
  </dxfs>
  <tableStyles count="0" defaultTableStyle="TableStyleMedium2" defaultPivotStyle="PivotStyleLight16"/>
  <colors>
    <mruColors>
      <color rgb="FFEDEBBD"/>
      <color rgb="FFCCDED2"/>
      <color rgb="FFFFFF66"/>
      <color rgb="FFD1B2E8"/>
      <color rgb="FFA56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3.jpe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</xdr:colOff>
      <xdr:row>1</xdr:row>
      <xdr:rowOff>178595</xdr:rowOff>
    </xdr:from>
    <xdr:ext cx="1195401" cy="904872"/>
    <xdr:pic>
      <xdr:nvPicPr>
        <xdr:cNvPr id="3" name="Picture 2">
          <a:extLst>
            <a:ext uri="{FF2B5EF4-FFF2-40B4-BE49-F238E27FC236}">
              <a16:creationId xmlns:a16="http://schemas.microsoft.com/office/drawing/2014/main" id="{4A6D18C1-E8E4-497B-9149-B41E80DE1D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77" t="9286" r="18651" b="13572"/>
        <a:stretch/>
      </xdr:blipFill>
      <xdr:spPr>
        <a:xfrm>
          <a:off x="9504040222" y="10370345"/>
          <a:ext cx="1195401" cy="904872"/>
        </a:xfrm>
        <a:prstGeom prst="rect">
          <a:avLst/>
        </a:prstGeom>
      </xdr:spPr>
    </xdr:pic>
    <xdr:clientData/>
  </xdr:oneCellAnchor>
  <xdr:twoCellAnchor editAs="oneCell">
    <xdr:from>
      <xdr:col>742</xdr:col>
      <xdr:colOff>484824</xdr:colOff>
      <xdr:row>24</xdr:row>
      <xdr:rowOff>464341</xdr:rowOff>
    </xdr:from>
    <xdr:to>
      <xdr:col>746</xdr:col>
      <xdr:colOff>27623</xdr:colOff>
      <xdr:row>27</xdr:row>
      <xdr:rowOff>297653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7A21293-EF00-41D2-8FBE-BD5B14211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9888" b="89888" l="6815" r="90967">
                      <a14:foregroundMark x1="51506" y1="23596" x2="51506" y2="23596"/>
                      <a14:foregroundMark x1="45642" y1="23596" x2="45642" y2="23596"/>
                      <a14:foregroundMark x1="48019" y1="9888" x2="48019" y2="9888"/>
                      <a14:foregroundMark x1="63391" y1="61798" x2="63391" y2="61798"/>
                      <a14:foregroundMark x1="76387" y1="65169" x2="76387" y2="65169"/>
                      <a14:foregroundMark x1="15848" y1="60000" x2="15848" y2="60000"/>
                      <a14:foregroundMark x1="16482" y1="60449" x2="16482" y2="60449"/>
                      <a14:foregroundMark x1="22029" y1="60674" x2="22029" y2="60674"/>
                      <a14:foregroundMark x1="23772" y1="63596" x2="23772" y2="63596"/>
                      <a14:foregroundMark x1="90491" y1="54157" x2="45959" y2="66067"/>
                      <a14:foregroundMark x1="45959" y1="66067" x2="18384" y2="66067"/>
                      <a14:foregroundMark x1="77655" y1="51910" x2="7132" y2="60000"/>
                      <a14:foregroundMark x1="7132" y1="65393" x2="88273" y2="68764"/>
                      <a14:foregroundMark x1="87956" y1="69888" x2="12044" y2="71910"/>
                      <a14:foregroundMark x1="6973" y1="66966" x2="59588" y2="69888"/>
                      <a14:foregroundMark x1="59588" y1="69888" x2="84311" y2="68989"/>
                      <a14:foregroundMark x1="84311" y1="68989" x2="86212" y2="58202"/>
                      <a14:foregroundMark x1="88748" y1="55281" x2="90967" y2="67191"/>
                      <a14:foregroundMark x1="27417" y1="51910" x2="12361" y2="61348"/>
                    </a14:backgroundRemoval>
                  </a14:imgEffect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5659189" y="10370341"/>
          <a:ext cx="1971674" cy="1333500"/>
        </a:xfrm>
        <a:prstGeom prst="rect">
          <a:avLst/>
        </a:prstGeom>
      </xdr:spPr>
    </xdr:pic>
    <xdr:clientData/>
  </xdr:twoCellAnchor>
  <xdr:twoCellAnchor editAs="oneCell">
    <xdr:from>
      <xdr:col>24</xdr:col>
      <xdr:colOff>176637</xdr:colOff>
      <xdr:row>0</xdr:row>
      <xdr:rowOff>178594</xdr:rowOff>
    </xdr:from>
    <xdr:to>
      <xdr:col>28</xdr:col>
      <xdr:colOff>201244</xdr:colOff>
      <xdr:row>7</xdr:row>
      <xdr:rowOff>156421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988E02F-19D7-44AB-8462-ECF96E35B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9527912" y="178594"/>
          <a:ext cx="1834357" cy="12398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359883</xdr:colOff>
      <xdr:row>1</xdr:row>
      <xdr:rowOff>66675</xdr:rowOff>
    </xdr:from>
    <xdr:ext cx="1602266" cy="828675"/>
    <xdr:pic>
      <xdr:nvPicPr>
        <xdr:cNvPr id="5" name="Picture 4">
          <a:extLst>
            <a:ext uri="{FF2B5EF4-FFF2-40B4-BE49-F238E27FC236}">
              <a16:creationId xmlns:a16="http://schemas.microsoft.com/office/drawing/2014/main" id="{03A69C2E-03CD-4D45-BB29-34DF8CC469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77" t="9286" r="18651" b="13572"/>
        <a:stretch/>
      </xdr:blipFill>
      <xdr:spPr>
        <a:xfrm>
          <a:off x="9988553176" y="257175"/>
          <a:ext cx="1602266" cy="828675"/>
        </a:xfrm>
        <a:prstGeom prst="rect">
          <a:avLst/>
        </a:prstGeom>
      </xdr:spPr>
    </xdr:pic>
    <xdr:clientData/>
  </xdr:oneCellAnchor>
  <xdr:twoCellAnchor editAs="oneCell">
    <xdr:from>
      <xdr:col>13</xdr:col>
      <xdr:colOff>419100</xdr:colOff>
      <xdr:row>0</xdr:row>
      <xdr:rowOff>133350</xdr:rowOff>
    </xdr:from>
    <xdr:to>
      <xdr:col>14</xdr:col>
      <xdr:colOff>1095374</xdr:colOff>
      <xdr:row>3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A17D8F-EBC0-447C-929A-C898298F6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9888" b="89888" l="6815" r="90967">
                      <a14:foregroundMark x1="51506" y1="23596" x2="51506" y2="23596"/>
                      <a14:foregroundMark x1="45642" y1="23596" x2="45642" y2="23596"/>
                      <a14:foregroundMark x1="48019" y1="9888" x2="48019" y2="9888"/>
                      <a14:foregroundMark x1="63391" y1="61798" x2="63391" y2="61798"/>
                      <a14:foregroundMark x1="76387" y1="65169" x2="76387" y2="65169"/>
                      <a14:foregroundMark x1="15848" y1="60000" x2="15848" y2="60000"/>
                      <a14:foregroundMark x1="16482" y1="60449" x2="16482" y2="60449"/>
                      <a14:foregroundMark x1="22029" y1="60674" x2="22029" y2="60674"/>
                      <a14:foregroundMark x1="23772" y1="63596" x2="23772" y2="63596"/>
                      <a14:foregroundMark x1="90491" y1="54157" x2="45959" y2="66067"/>
                      <a14:foregroundMark x1="45959" y1="66067" x2="18384" y2="66067"/>
                      <a14:foregroundMark x1="77655" y1="51910" x2="7132" y2="60000"/>
                      <a14:foregroundMark x1="7132" y1="65393" x2="88273" y2="68764"/>
                      <a14:foregroundMark x1="87956" y1="69888" x2="12044" y2="71910"/>
                      <a14:foregroundMark x1="6973" y1="66966" x2="59588" y2="69888"/>
                      <a14:foregroundMark x1="59588" y1="69888" x2="84311" y2="68989"/>
                      <a14:foregroundMark x1="84311" y1="68989" x2="86212" y2="58202"/>
                      <a14:foregroundMark x1="88748" y1="55281" x2="90967" y2="67191"/>
                      <a14:foregroundMark x1="27417" y1="51910" x2="12361" y2="61348"/>
                    </a14:backgroundRemoval>
                  </a14:imgEffect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8475726" y="133350"/>
          <a:ext cx="1971674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  <pageSetUpPr fitToPage="1"/>
  </sheetPr>
  <dimension ref="A1:AA1370"/>
  <sheetViews>
    <sheetView showGridLines="0" rightToLeft="1" zoomScale="90" zoomScaleNormal="9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M10" sqref="M10:N10"/>
    </sheetView>
  </sheetViews>
  <sheetFormatPr defaultColWidth="9.109375" defaultRowHeight="11.4"/>
  <cols>
    <col min="1" max="1" width="9.109375" style="23"/>
    <col min="2" max="2" width="5.6640625" style="23" bestFit="1" customWidth="1"/>
    <col min="3" max="3" width="22.77734375" style="23" customWidth="1"/>
    <col min="4" max="4" width="4.21875" style="23" customWidth="1"/>
    <col min="5" max="5" width="19.88671875" style="23" customWidth="1"/>
    <col min="6" max="7" width="13.6640625" style="23" customWidth="1"/>
    <col min="8" max="9" width="6.21875" style="23" bestFit="1" customWidth="1"/>
    <col min="10" max="10" width="17" style="23" customWidth="1"/>
    <col min="11" max="11" width="6.21875" style="23" customWidth="1"/>
    <col min="12" max="12" width="6.5546875" style="23" bestFit="1" customWidth="1"/>
    <col min="13" max="13" width="10.77734375" style="23" customWidth="1"/>
    <col min="14" max="14" width="21.6640625" style="23" customWidth="1"/>
    <col min="15" max="15" width="22.33203125" style="23" customWidth="1"/>
    <col min="16" max="21" width="9.109375" style="23"/>
    <col min="22" max="22" width="0" style="23" hidden="1" customWidth="1"/>
    <col min="23" max="16384" width="9.109375" style="23"/>
  </cols>
  <sheetData>
    <row r="1" spans="1:27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T1" s="131" t="str">
        <f>"محاسبه پزشکان اورژانس "&amp;F2&amp;M2&amp;" "&amp;"("&amp;O2&amp;")"</f>
        <v>محاسبه پزشکان اورژانس مرکز آموزشی پژوهشی درمانی بیمارستان بنت الهدیفروردین   (1403)</v>
      </c>
      <c r="U1" s="131"/>
      <c r="V1" s="131"/>
      <c r="W1" s="131"/>
      <c r="X1" s="131"/>
      <c r="Y1" s="131"/>
      <c r="Z1" s="131"/>
    </row>
    <row r="2" spans="1:27" ht="50.25" customHeight="1">
      <c r="A2" s="158" t="s">
        <v>148</v>
      </c>
      <c r="B2" s="158"/>
      <c r="C2" s="158"/>
      <c r="D2" s="158"/>
      <c r="E2" s="98" t="s">
        <v>11</v>
      </c>
      <c r="F2" s="159" t="s">
        <v>195</v>
      </c>
      <c r="G2" s="159"/>
      <c r="H2" s="159"/>
      <c r="I2" s="159"/>
      <c r="J2" s="159"/>
      <c r="K2" s="159"/>
      <c r="L2" s="159"/>
      <c r="M2" s="185" t="s">
        <v>111</v>
      </c>
      <c r="N2" s="185"/>
      <c r="O2" s="99">
        <v>1403</v>
      </c>
      <c r="P2" s="22"/>
      <c r="Q2" s="22"/>
      <c r="T2" s="131"/>
      <c r="U2" s="131"/>
      <c r="V2" s="131"/>
      <c r="W2" s="131"/>
      <c r="X2" s="131"/>
      <c r="Y2" s="131"/>
      <c r="Z2" s="131"/>
    </row>
    <row r="3" spans="1:27" ht="33" customHeight="1">
      <c r="A3" s="22"/>
      <c r="B3" s="22"/>
      <c r="C3" s="24"/>
      <c r="D3" s="24"/>
      <c r="E3" s="24"/>
      <c r="F3" s="159"/>
      <c r="G3" s="159"/>
      <c r="H3" s="159"/>
      <c r="I3" s="159"/>
      <c r="J3" s="159"/>
      <c r="K3" s="159"/>
      <c r="L3" s="159"/>
      <c r="M3" s="47"/>
      <c r="N3" s="22"/>
      <c r="O3" s="22"/>
      <c r="P3" s="22"/>
      <c r="Q3" s="22"/>
      <c r="T3" s="131"/>
      <c r="U3" s="131"/>
      <c r="V3" s="131"/>
      <c r="W3" s="131"/>
      <c r="X3" s="131"/>
      <c r="Y3" s="131"/>
      <c r="Z3" s="131"/>
    </row>
    <row r="4" spans="1:27" ht="12.6" thickBot="1">
      <c r="A4" s="22"/>
      <c r="B4" s="22"/>
      <c r="C4" s="22"/>
      <c r="D4" s="22"/>
      <c r="E4" s="22"/>
      <c r="F4" s="22"/>
      <c r="G4" s="25"/>
      <c r="H4" s="25"/>
      <c r="I4" s="25"/>
      <c r="J4" s="25"/>
      <c r="K4" s="22"/>
      <c r="L4" s="22"/>
      <c r="M4" s="22"/>
      <c r="N4" s="22"/>
      <c r="O4" s="22"/>
      <c r="P4" s="22"/>
      <c r="Q4" s="22"/>
    </row>
    <row r="5" spans="1:27" ht="24.75" customHeight="1">
      <c r="A5" s="22"/>
      <c r="B5" s="169" t="s">
        <v>96</v>
      </c>
      <c r="C5" s="172" t="s">
        <v>56</v>
      </c>
      <c r="D5" s="182" t="s">
        <v>77</v>
      </c>
      <c r="E5" s="172" t="s">
        <v>126</v>
      </c>
      <c r="F5" s="178" t="s">
        <v>167</v>
      </c>
      <c r="G5" s="179"/>
      <c r="H5" s="175" t="s">
        <v>140</v>
      </c>
      <c r="I5" s="175" t="s">
        <v>137</v>
      </c>
      <c r="J5" s="160" t="s">
        <v>57</v>
      </c>
      <c r="K5" s="22"/>
      <c r="L5" s="163" t="s">
        <v>105</v>
      </c>
      <c r="M5" s="164"/>
      <c r="N5" s="164"/>
      <c r="O5" s="165"/>
      <c r="P5" s="22"/>
      <c r="Q5" s="22"/>
      <c r="U5" s="132" t="s">
        <v>95</v>
      </c>
      <c r="V5" s="133"/>
      <c r="W5" s="134"/>
      <c r="X5" s="138">
        <v>44759</v>
      </c>
      <c r="Y5" s="139"/>
    </row>
    <row r="6" spans="1:27" ht="24.75" customHeight="1">
      <c r="A6" s="22"/>
      <c r="B6" s="170"/>
      <c r="C6" s="173"/>
      <c r="D6" s="183"/>
      <c r="E6" s="173"/>
      <c r="F6" s="180"/>
      <c r="G6" s="181"/>
      <c r="H6" s="176"/>
      <c r="I6" s="176"/>
      <c r="J6" s="161"/>
      <c r="K6" s="22"/>
      <c r="L6" s="166"/>
      <c r="M6" s="167"/>
      <c r="N6" s="167"/>
      <c r="O6" s="168"/>
      <c r="P6" s="22"/>
      <c r="Q6" s="22"/>
      <c r="U6" s="135"/>
      <c r="V6" s="136"/>
      <c r="W6" s="137"/>
      <c r="X6" s="140"/>
      <c r="Y6" s="141"/>
    </row>
    <row r="7" spans="1:27" ht="24.75" customHeight="1">
      <c r="A7" s="22"/>
      <c r="B7" s="171"/>
      <c r="C7" s="174"/>
      <c r="D7" s="184"/>
      <c r="E7" s="174"/>
      <c r="F7" s="36" t="s">
        <v>67</v>
      </c>
      <c r="G7" s="36" t="s">
        <v>68</v>
      </c>
      <c r="H7" s="177"/>
      <c r="I7" s="177"/>
      <c r="J7" s="162"/>
      <c r="K7" s="22"/>
      <c r="L7" s="149" t="s">
        <v>142</v>
      </c>
      <c r="M7" s="150"/>
      <c r="N7" s="150"/>
      <c r="O7" s="151"/>
      <c r="P7" s="22"/>
      <c r="Q7" s="22"/>
      <c r="U7" s="152" t="s">
        <v>98</v>
      </c>
      <c r="V7" s="153"/>
      <c r="W7" s="154"/>
      <c r="X7" s="155" t="s">
        <v>194</v>
      </c>
      <c r="Y7" s="155"/>
      <c r="AA7" s="26"/>
    </row>
    <row r="8" spans="1:27" ht="24.75" customHeight="1">
      <c r="A8" s="22"/>
      <c r="B8" s="27">
        <v>1</v>
      </c>
      <c r="C8" s="28"/>
      <c r="D8" s="28" t="s">
        <v>78</v>
      </c>
      <c r="E8" s="28"/>
      <c r="F8" s="28"/>
      <c r="G8" s="28"/>
      <c r="H8" s="35"/>
      <c r="I8" s="35"/>
      <c r="J8" s="30"/>
      <c r="K8" s="22"/>
      <c r="L8" s="37">
        <v>1</v>
      </c>
      <c r="M8" s="144" t="s">
        <v>108</v>
      </c>
      <c r="N8" s="144"/>
      <c r="O8" s="40">
        <v>6</v>
      </c>
      <c r="P8" s="22"/>
      <c r="Q8" s="22"/>
      <c r="U8" s="152">
        <f ca="1">TODAY()-X5</f>
        <v>623</v>
      </c>
      <c r="V8" s="153"/>
      <c r="W8" s="153"/>
      <c r="X8" s="156" t="s">
        <v>99</v>
      </c>
      <c r="Y8" s="157"/>
    </row>
    <row r="9" spans="1:27" ht="24.75" customHeight="1">
      <c r="A9" s="22"/>
      <c r="B9" s="27">
        <v>2</v>
      </c>
      <c r="C9" s="28"/>
      <c r="D9" s="28" t="s">
        <v>78</v>
      </c>
      <c r="E9" s="28" t="s">
        <v>130</v>
      </c>
      <c r="F9" s="28">
        <v>1</v>
      </c>
      <c r="G9" s="28">
        <v>8</v>
      </c>
      <c r="H9" s="35" t="s">
        <v>139</v>
      </c>
      <c r="I9" s="35" t="s">
        <v>139</v>
      </c>
      <c r="J9" s="30" t="s">
        <v>58</v>
      </c>
      <c r="K9" s="22"/>
      <c r="L9" s="37">
        <v>2</v>
      </c>
      <c r="M9" s="144" t="s">
        <v>109</v>
      </c>
      <c r="N9" s="144"/>
      <c r="O9" s="40">
        <v>6</v>
      </c>
      <c r="P9" s="22"/>
      <c r="Q9" s="22"/>
    </row>
    <row r="10" spans="1:27" ht="24.75" customHeight="1">
      <c r="A10" s="22"/>
      <c r="B10" s="27">
        <v>3</v>
      </c>
      <c r="C10" s="28"/>
      <c r="D10" s="28" t="s">
        <v>78</v>
      </c>
      <c r="E10" s="28" t="s">
        <v>130</v>
      </c>
      <c r="F10" s="28"/>
      <c r="G10" s="28">
        <v>12</v>
      </c>
      <c r="H10" s="35" t="s">
        <v>139</v>
      </c>
      <c r="I10" s="35" t="s">
        <v>139</v>
      </c>
      <c r="J10" s="30" t="s">
        <v>58</v>
      </c>
      <c r="K10" s="22"/>
      <c r="L10" s="37">
        <v>3</v>
      </c>
      <c r="M10" s="144" t="s">
        <v>8</v>
      </c>
      <c r="N10" s="144"/>
      <c r="O10" s="40">
        <v>12</v>
      </c>
      <c r="P10" s="22"/>
      <c r="Q10" s="22"/>
    </row>
    <row r="11" spans="1:27" ht="24.75" customHeight="1">
      <c r="A11" s="22"/>
      <c r="B11" s="27">
        <v>4</v>
      </c>
      <c r="C11" s="28"/>
      <c r="D11" s="28" t="s">
        <v>78</v>
      </c>
      <c r="E11" s="28" t="s">
        <v>130</v>
      </c>
      <c r="F11" s="28"/>
      <c r="G11" s="28"/>
      <c r="H11" s="35" t="s">
        <v>138</v>
      </c>
      <c r="I11" s="35" t="s">
        <v>139</v>
      </c>
      <c r="J11" s="30" t="s">
        <v>141</v>
      </c>
      <c r="K11" s="22"/>
      <c r="L11" s="145" t="s">
        <v>145</v>
      </c>
      <c r="M11" s="146"/>
      <c r="N11" s="146"/>
      <c r="O11" s="147"/>
      <c r="P11" s="22"/>
      <c r="Q11" s="22"/>
      <c r="U11" s="143"/>
      <c r="V11" s="143"/>
      <c r="W11" s="143"/>
      <c r="X11" s="143"/>
      <c r="Y11" s="143"/>
    </row>
    <row r="12" spans="1:27" ht="24.75" customHeight="1">
      <c r="A12" s="22"/>
      <c r="B12" s="27">
        <v>5</v>
      </c>
      <c r="C12" s="28"/>
      <c r="D12" s="28" t="s">
        <v>78</v>
      </c>
      <c r="E12" s="28" t="s">
        <v>130</v>
      </c>
      <c r="F12" s="28"/>
      <c r="G12" s="28"/>
      <c r="H12" s="35" t="s">
        <v>139</v>
      </c>
      <c r="I12" s="35" t="s">
        <v>139</v>
      </c>
      <c r="J12" s="30" t="s">
        <v>141</v>
      </c>
      <c r="K12" s="22"/>
      <c r="L12" s="37">
        <v>1</v>
      </c>
      <c r="M12" s="144" t="s">
        <v>143</v>
      </c>
      <c r="N12" s="144"/>
      <c r="O12" s="38">
        <v>850000</v>
      </c>
      <c r="P12" s="22"/>
      <c r="Q12" s="22"/>
      <c r="U12" s="143"/>
      <c r="V12" s="143"/>
      <c r="W12" s="143"/>
      <c r="X12" s="143"/>
      <c r="Y12" s="143"/>
    </row>
    <row r="13" spans="1:27" ht="24.75" customHeight="1">
      <c r="A13" s="22"/>
      <c r="B13" s="27">
        <v>6</v>
      </c>
      <c r="C13" s="28" t="s">
        <v>197</v>
      </c>
      <c r="D13" s="28" t="s">
        <v>78</v>
      </c>
      <c r="E13" s="28" t="s">
        <v>130</v>
      </c>
      <c r="F13" s="28">
        <v>17</v>
      </c>
      <c r="G13" s="28">
        <v>2</v>
      </c>
      <c r="H13" s="35" t="s">
        <v>138</v>
      </c>
      <c r="I13" s="35" t="s">
        <v>139</v>
      </c>
      <c r="J13" s="30" t="s">
        <v>61</v>
      </c>
      <c r="K13" s="22"/>
      <c r="L13" s="37">
        <v>2</v>
      </c>
      <c r="M13" s="144" t="s">
        <v>144</v>
      </c>
      <c r="N13" s="144"/>
      <c r="O13" s="41">
        <v>1800000</v>
      </c>
      <c r="P13" s="22"/>
      <c r="Q13" s="22"/>
      <c r="T13" s="26"/>
      <c r="U13" s="143"/>
      <c r="V13" s="143"/>
      <c r="W13" s="143"/>
      <c r="X13" s="143"/>
      <c r="Y13" s="143"/>
      <c r="Z13" s="26"/>
    </row>
    <row r="14" spans="1:27" ht="24.75" customHeight="1">
      <c r="A14" s="22"/>
      <c r="B14" s="27">
        <v>7</v>
      </c>
      <c r="C14" s="28" t="s">
        <v>198</v>
      </c>
      <c r="D14" s="28" t="s">
        <v>78</v>
      </c>
      <c r="E14" s="28" t="s">
        <v>130</v>
      </c>
      <c r="F14" s="28">
        <v>0</v>
      </c>
      <c r="G14" s="28">
        <v>12</v>
      </c>
      <c r="H14" s="35" t="s">
        <v>139</v>
      </c>
      <c r="I14" s="35" t="s">
        <v>139</v>
      </c>
      <c r="J14" s="30" t="s">
        <v>58</v>
      </c>
      <c r="K14" s="22"/>
      <c r="L14" s="149" t="s">
        <v>100</v>
      </c>
      <c r="M14" s="150"/>
      <c r="N14" s="150"/>
      <c r="O14" s="151"/>
      <c r="P14" s="22"/>
      <c r="Q14" s="22"/>
    </row>
    <row r="15" spans="1:27" ht="24.75" customHeight="1">
      <c r="A15" s="22"/>
      <c r="B15" s="27">
        <v>8</v>
      </c>
      <c r="C15" s="28" t="s">
        <v>199</v>
      </c>
      <c r="D15" s="28" t="s">
        <v>78</v>
      </c>
      <c r="E15" s="28" t="s">
        <v>130</v>
      </c>
      <c r="F15" s="28">
        <v>0</v>
      </c>
      <c r="G15" s="28">
        <v>7</v>
      </c>
      <c r="H15" s="35" t="s">
        <v>138</v>
      </c>
      <c r="I15" s="35" t="s">
        <v>139</v>
      </c>
      <c r="J15" s="30" t="s">
        <v>141</v>
      </c>
      <c r="K15" s="22"/>
      <c r="L15" s="37">
        <v>1</v>
      </c>
      <c r="M15" s="144" t="s">
        <v>101</v>
      </c>
      <c r="N15" s="144"/>
      <c r="O15" s="40"/>
      <c r="P15" s="22"/>
      <c r="Q15" s="22"/>
    </row>
    <row r="16" spans="1:27" ht="24.75" customHeight="1">
      <c r="A16" s="22"/>
      <c r="B16" s="27">
        <v>9</v>
      </c>
      <c r="C16" s="28" t="s">
        <v>200</v>
      </c>
      <c r="D16" s="28" t="s">
        <v>78</v>
      </c>
      <c r="E16" s="28" t="s">
        <v>130</v>
      </c>
      <c r="F16" s="28"/>
      <c r="G16" s="28"/>
      <c r="H16" s="35" t="s">
        <v>139</v>
      </c>
      <c r="I16" s="35" t="s">
        <v>139</v>
      </c>
      <c r="J16" s="30" t="s">
        <v>60</v>
      </c>
      <c r="K16" s="22"/>
      <c r="L16" s="37">
        <v>2</v>
      </c>
      <c r="M16" s="144" t="s">
        <v>102</v>
      </c>
      <c r="N16" s="144"/>
      <c r="O16" s="40"/>
      <c r="P16" s="22"/>
      <c r="Q16" s="22"/>
    </row>
    <row r="17" spans="1:17" ht="24.75" customHeight="1">
      <c r="A17" s="22"/>
      <c r="B17" s="27">
        <v>10</v>
      </c>
      <c r="C17" s="28" t="s">
        <v>201</v>
      </c>
      <c r="D17" s="28" t="s">
        <v>78</v>
      </c>
      <c r="E17" s="28" t="s">
        <v>130</v>
      </c>
      <c r="F17" s="28">
        <v>0</v>
      </c>
      <c r="G17" s="28">
        <v>6</v>
      </c>
      <c r="H17" s="35" t="s">
        <v>139</v>
      </c>
      <c r="I17" s="35" t="s">
        <v>139</v>
      </c>
      <c r="J17" s="30" t="s">
        <v>58</v>
      </c>
      <c r="K17" s="22"/>
      <c r="L17" s="37">
        <v>3</v>
      </c>
      <c r="M17" s="144" t="s">
        <v>103</v>
      </c>
      <c r="N17" s="144"/>
      <c r="O17" s="40"/>
      <c r="P17" s="22"/>
      <c r="Q17" s="22"/>
    </row>
    <row r="18" spans="1:17" ht="24.75" customHeight="1">
      <c r="A18" s="22"/>
      <c r="B18" s="27">
        <v>11</v>
      </c>
      <c r="C18" s="28" t="s">
        <v>202</v>
      </c>
      <c r="D18" s="28" t="s">
        <v>78</v>
      </c>
      <c r="E18" s="28" t="s">
        <v>130</v>
      </c>
      <c r="F18" s="28">
        <v>5</v>
      </c>
      <c r="G18" s="28">
        <v>4</v>
      </c>
      <c r="H18" s="35" t="s">
        <v>139</v>
      </c>
      <c r="I18" s="35" t="s">
        <v>139</v>
      </c>
      <c r="J18" s="30" t="s">
        <v>59</v>
      </c>
      <c r="K18" s="22"/>
      <c r="L18" s="37">
        <v>4</v>
      </c>
      <c r="M18" s="144" t="s">
        <v>184</v>
      </c>
      <c r="N18" s="144"/>
      <c r="O18" s="40"/>
      <c r="P18" s="22"/>
      <c r="Q18" s="22"/>
    </row>
    <row r="19" spans="1:17" ht="24.75" customHeight="1">
      <c r="A19" s="22"/>
      <c r="B19" s="27">
        <v>12</v>
      </c>
      <c r="C19" s="28"/>
      <c r="D19" s="28"/>
      <c r="E19" s="28"/>
      <c r="F19" s="28"/>
      <c r="G19" s="28"/>
      <c r="H19" s="35"/>
      <c r="I19" s="35"/>
      <c r="J19" s="30"/>
      <c r="K19" s="22"/>
      <c r="L19" s="37">
        <v>5</v>
      </c>
      <c r="M19" s="144" t="s">
        <v>185</v>
      </c>
      <c r="N19" s="144"/>
      <c r="O19" s="40"/>
      <c r="P19" s="22"/>
      <c r="Q19" s="22"/>
    </row>
    <row r="20" spans="1:17" ht="24.75" customHeight="1">
      <c r="A20" s="22"/>
      <c r="B20" s="27">
        <v>13</v>
      </c>
      <c r="C20" s="28"/>
      <c r="D20" s="28"/>
      <c r="E20" s="28"/>
      <c r="F20" s="28"/>
      <c r="G20" s="28"/>
      <c r="H20" s="35"/>
      <c r="I20" s="35"/>
      <c r="J20" s="30"/>
      <c r="K20" s="22"/>
      <c r="L20" s="37">
        <v>6</v>
      </c>
      <c r="M20" s="144" t="s">
        <v>104</v>
      </c>
      <c r="N20" s="144"/>
      <c r="O20" s="40"/>
      <c r="P20" s="22"/>
      <c r="Q20" s="22"/>
    </row>
    <row r="21" spans="1:17" ht="24.75" customHeight="1" thickBot="1">
      <c r="A21" s="22"/>
      <c r="B21" s="27">
        <v>14</v>
      </c>
      <c r="C21" s="28"/>
      <c r="D21" s="28"/>
      <c r="E21" s="28"/>
      <c r="F21" s="28"/>
      <c r="G21" s="28"/>
      <c r="H21" s="35"/>
      <c r="I21" s="35"/>
      <c r="J21" s="30"/>
      <c r="K21" s="22"/>
      <c r="L21" s="39">
        <v>7</v>
      </c>
      <c r="M21" s="148" t="s">
        <v>186</v>
      </c>
      <c r="N21" s="148"/>
      <c r="O21" s="42"/>
      <c r="P21" s="22"/>
      <c r="Q21" s="22"/>
    </row>
    <row r="22" spans="1:17" ht="24.75" customHeight="1">
      <c r="A22" s="22"/>
      <c r="B22" s="27">
        <v>15</v>
      </c>
      <c r="C22" s="28"/>
      <c r="D22" s="28"/>
      <c r="E22" s="28"/>
      <c r="F22" s="28"/>
      <c r="G22" s="28"/>
      <c r="H22" s="35"/>
      <c r="I22" s="35"/>
      <c r="J22" s="30"/>
      <c r="K22" s="22"/>
      <c r="L22" s="22"/>
      <c r="M22" s="22"/>
      <c r="N22" s="22"/>
      <c r="O22" s="22"/>
      <c r="P22" s="22"/>
      <c r="Q22" s="22"/>
    </row>
    <row r="23" spans="1:17" ht="24.75" customHeight="1">
      <c r="A23" s="22"/>
      <c r="B23" s="27">
        <v>16</v>
      </c>
      <c r="C23" s="28"/>
      <c r="D23" s="28"/>
      <c r="E23" s="28"/>
      <c r="F23" s="28"/>
      <c r="G23" s="28"/>
      <c r="H23" s="35"/>
      <c r="I23" s="35"/>
      <c r="J23" s="30"/>
      <c r="K23" s="22"/>
      <c r="L23" s="22"/>
      <c r="M23" s="22"/>
      <c r="N23" s="22"/>
      <c r="O23" s="22"/>
      <c r="P23" s="22"/>
      <c r="Q23" s="22"/>
    </row>
    <row r="24" spans="1:17" ht="24.75" customHeight="1">
      <c r="A24" s="22"/>
      <c r="B24" s="27">
        <v>17</v>
      </c>
      <c r="C24" s="28"/>
      <c r="D24" s="28"/>
      <c r="E24" s="28"/>
      <c r="F24" s="28"/>
      <c r="G24" s="28"/>
      <c r="H24" s="35"/>
      <c r="I24" s="35"/>
      <c r="J24" s="30"/>
      <c r="K24" s="22"/>
      <c r="L24" s="22"/>
      <c r="M24" s="22"/>
      <c r="N24" s="22"/>
      <c r="O24" s="22"/>
      <c r="P24" s="22"/>
      <c r="Q24" s="22"/>
    </row>
    <row r="25" spans="1:17" ht="24.75" customHeight="1">
      <c r="A25" s="22"/>
      <c r="B25" s="27">
        <v>18</v>
      </c>
      <c r="C25" s="28"/>
      <c r="D25" s="28"/>
      <c r="E25" s="28"/>
      <c r="F25" s="28"/>
      <c r="G25" s="28"/>
      <c r="H25" s="35"/>
      <c r="I25" s="35"/>
      <c r="J25" s="30"/>
      <c r="K25" s="22"/>
      <c r="L25" s="22"/>
      <c r="M25" s="22"/>
      <c r="N25" s="22"/>
      <c r="O25" s="22"/>
      <c r="P25" s="22"/>
      <c r="Q25" s="22"/>
    </row>
    <row r="26" spans="1:17" ht="24.75" customHeight="1">
      <c r="A26" s="22"/>
      <c r="B26" s="27">
        <v>19</v>
      </c>
      <c r="C26" s="28"/>
      <c r="D26" s="28"/>
      <c r="E26" s="28"/>
      <c r="F26" s="28"/>
      <c r="G26" s="28"/>
      <c r="H26" s="35"/>
      <c r="I26" s="35"/>
      <c r="J26" s="30"/>
      <c r="K26" s="22"/>
      <c r="L26" s="22"/>
      <c r="M26" s="22"/>
      <c r="N26" s="22"/>
      <c r="O26" s="22"/>
      <c r="P26" s="22"/>
      <c r="Q26" s="22"/>
    </row>
    <row r="27" spans="1:17" ht="24.75" customHeight="1">
      <c r="A27" s="22"/>
      <c r="B27" s="27">
        <v>20</v>
      </c>
      <c r="C27" s="28"/>
      <c r="D27" s="28"/>
      <c r="E27" s="28"/>
      <c r="F27" s="28"/>
      <c r="G27" s="28"/>
      <c r="H27" s="35"/>
      <c r="I27" s="35"/>
      <c r="J27" s="30"/>
      <c r="K27" s="22"/>
      <c r="L27" s="22"/>
      <c r="M27" s="22"/>
      <c r="N27" s="22"/>
      <c r="O27" s="22"/>
      <c r="P27" s="22"/>
      <c r="Q27" s="22"/>
    </row>
    <row r="28" spans="1:17" ht="24.75" customHeight="1">
      <c r="A28" s="22"/>
      <c r="B28" s="27">
        <v>21</v>
      </c>
      <c r="C28" s="28"/>
      <c r="D28" s="28"/>
      <c r="E28" s="28"/>
      <c r="F28" s="28"/>
      <c r="G28" s="28"/>
      <c r="H28" s="35"/>
      <c r="I28" s="35"/>
      <c r="J28" s="30"/>
      <c r="K28" s="22"/>
      <c r="L28" s="22"/>
      <c r="M28" s="22"/>
      <c r="N28" s="22"/>
      <c r="O28" s="22"/>
      <c r="P28" s="22"/>
      <c r="Q28" s="22"/>
    </row>
    <row r="29" spans="1:17" ht="24.75" customHeight="1">
      <c r="A29" s="22"/>
      <c r="B29" s="27">
        <v>22</v>
      </c>
      <c r="C29" s="28"/>
      <c r="D29" s="28"/>
      <c r="E29" s="28"/>
      <c r="F29" s="28"/>
      <c r="G29" s="28"/>
      <c r="H29" s="35"/>
      <c r="I29" s="35"/>
      <c r="J29" s="30"/>
      <c r="K29" s="22"/>
      <c r="L29" s="22"/>
      <c r="M29" s="22"/>
      <c r="N29" s="22"/>
      <c r="O29" s="22"/>
      <c r="P29" s="22"/>
      <c r="Q29" s="22"/>
    </row>
    <row r="30" spans="1:17" ht="24.75" customHeight="1">
      <c r="A30" s="22"/>
      <c r="B30" s="27">
        <v>23</v>
      </c>
      <c r="C30" s="28"/>
      <c r="D30" s="28"/>
      <c r="E30" s="28"/>
      <c r="F30" s="28"/>
      <c r="G30" s="28"/>
      <c r="H30" s="35"/>
      <c r="I30" s="35"/>
      <c r="J30" s="30"/>
      <c r="K30" s="22"/>
      <c r="L30" s="22"/>
      <c r="M30" s="22"/>
      <c r="N30" s="22"/>
      <c r="O30" s="22"/>
      <c r="P30" s="22"/>
      <c r="Q30" s="22"/>
    </row>
    <row r="31" spans="1:17" ht="24.75" customHeight="1">
      <c r="A31" s="22"/>
      <c r="B31" s="27">
        <v>24</v>
      </c>
      <c r="C31" s="28"/>
      <c r="D31" s="28"/>
      <c r="E31" s="28"/>
      <c r="F31" s="28"/>
      <c r="G31" s="28"/>
      <c r="H31" s="35"/>
      <c r="I31" s="35"/>
      <c r="J31" s="30"/>
      <c r="K31" s="22"/>
      <c r="L31" s="22"/>
      <c r="M31" s="22"/>
      <c r="N31" s="22"/>
      <c r="O31" s="22"/>
      <c r="P31" s="22"/>
      <c r="Q31" s="22"/>
    </row>
    <row r="32" spans="1:17" ht="24.75" customHeight="1">
      <c r="A32" s="22"/>
      <c r="B32" s="27">
        <v>25</v>
      </c>
      <c r="C32" s="46"/>
      <c r="D32" s="28"/>
      <c r="E32" s="28"/>
      <c r="F32" s="28"/>
      <c r="G32" s="28"/>
      <c r="H32" s="35"/>
      <c r="I32" s="35"/>
      <c r="J32" s="30"/>
      <c r="K32" s="22"/>
      <c r="L32" s="22"/>
      <c r="M32" s="22"/>
      <c r="N32" s="22"/>
      <c r="O32" s="22"/>
      <c r="P32" s="22"/>
      <c r="Q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1370" spans="18:20" ht="15">
      <c r="R1370" s="142">
        <v>66554862</v>
      </c>
      <c r="S1370" s="142"/>
      <c r="T1370" s="142"/>
    </row>
  </sheetData>
  <mergeCells count="36">
    <mergeCell ref="A2:D2"/>
    <mergeCell ref="F2:L3"/>
    <mergeCell ref="J5:J7"/>
    <mergeCell ref="L5:O6"/>
    <mergeCell ref="B5:B7"/>
    <mergeCell ref="C5:C7"/>
    <mergeCell ref="I5:I7"/>
    <mergeCell ref="F5:G6"/>
    <mergeCell ref="H5:H7"/>
    <mergeCell ref="D5:D7"/>
    <mergeCell ref="E5:E7"/>
    <mergeCell ref="M2:N2"/>
    <mergeCell ref="L7:O7"/>
    <mergeCell ref="M10:N10"/>
    <mergeCell ref="U7:W7"/>
    <mergeCell ref="X7:Y7"/>
    <mergeCell ref="U8:W8"/>
    <mergeCell ref="X8:Y8"/>
    <mergeCell ref="M8:N8"/>
    <mergeCell ref="M9:N9"/>
    <mergeCell ref="M12:N12"/>
    <mergeCell ref="M13:N13"/>
    <mergeCell ref="L11:O11"/>
    <mergeCell ref="M20:N20"/>
    <mergeCell ref="M21:N21"/>
    <mergeCell ref="M16:N16"/>
    <mergeCell ref="M17:N17"/>
    <mergeCell ref="M18:N18"/>
    <mergeCell ref="M19:N19"/>
    <mergeCell ref="L14:O14"/>
    <mergeCell ref="M15:N15"/>
    <mergeCell ref="T1:Z3"/>
    <mergeCell ref="U5:W6"/>
    <mergeCell ref="X5:Y6"/>
    <mergeCell ref="R1370:T1370"/>
    <mergeCell ref="U11:Y13"/>
  </mergeCells>
  <conditionalFormatting sqref="C8:J32">
    <cfRule type="containsBlanks" dxfId="47" priority="6">
      <formula>LEN(TRIM(C8))=0</formula>
    </cfRule>
  </conditionalFormatting>
  <conditionalFormatting sqref="O8:O10">
    <cfRule type="containsBlanks" dxfId="46" priority="8">
      <formula>LEN(TRIM(O8))=0</formula>
    </cfRule>
  </conditionalFormatting>
  <conditionalFormatting sqref="O12:O13">
    <cfRule type="containsBlanks" dxfId="45" priority="3">
      <formula>LEN(TRIM(O12))=0</formula>
    </cfRule>
  </conditionalFormatting>
  <conditionalFormatting sqref="O15:O21">
    <cfRule type="containsBlanks" dxfId="44" priority="1">
      <formula>LEN(TRIM(O15))=0</formula>
    </cfRule>
  </conditionalFormatting>
  <dataValidations count="1">
    <dataValidation type="textLength" allowBlank="1" showInputMessage="1" showErrorMessage="1" sqref="C8:C32" xr:uid="{00000000-0002-0000-0000-000000000000}">
      <formula1>0</formula1>
      <formula2>20</formula2>
    </dataValidation>
  </dataValidations>
  <printOptions horizontalCentered="1" verticalCentered="1"/>
  <pageMargins left="0.25" right="0.25" top="0.75" bottom="0.75" header="0.3" footer="0.3"/>
  <pageSetup scale="59" orientation="landscape" r:id="rId1"/>
  <legacyDrawing r:id="rId2"/>
  <picture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1000000}">
          <x14:formula1>
            <xm:f>دیتا!$H$2:$H$4</xm:f>
          </x14:formula1>
          <xm:sqref>E8:E32</xm:sqref>
        </x14:dataValidation>
        <x14:dataValidation type="list" allowBlank="1" showInputMessage="1" showErrorMessage="1" xr:uid="{00000000-0002-0000-0000-000002000000}">
          <x14:formula1>
            <xm:f>'دیتا 2'!$G$1:$G$2</xm:f>
          </x14:formula1>
          <xm:sqref>D8:D32</xm:sqref>
        </x14:dataValidation>
        <x14:dataValidation type="list" allowBlank="1" showInputMessage="1" showErrorMessage="1" xr:uid="{00000000-0002-0000-0000-000003000000}">
          <x14:formula1>
            <xm:f>دیتا!$T$2:$T$3</xm:f>
          </x14:formula1>
          <xm:sqref>H8:I32</xm:sqref>
        </x14:dataValidation>
        <x14:dataValidation type="list" allowBlank="1" showInputMessage="1" showErrorMessage="1" xr:uid="{00000000-0002-0000-0000-000004000000}">
          <x14:formula1>
            <xm:f>دیتا!$I$2:$I$8</xm:f>
          </x14:formula1>
          <xm:sqref>J8:J32</xm:sqref>
        </x14:dataValidation>
        <x14:dataValidation type="list" allowBlank="1" showInputMessage="1" showErrorMessage="1" xr:uid="{00000000-0002-0000-0000-000005000000}">
          <x14:formula1>
            <xm:f>دیتا!$E$2:$E$5</xm:f>
          </x14:formula1>
          <xm:sqref>O2</xm:sqref>
        </x14:dataValidation>
        <x14:dataValidation type="list" allowBlank="1" showInputMessage="1" showErrorMessage="1" xr:uid="{00000000-0002-0000-0000-000006000000}">
          <x14:formula1>
            <xm:f>دیتا!$A$2:$A$13</xm:f>
          </x14:formula1>
          <xm:sqref>M2:N2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79998168889431442"/>
    <pageSetUpPr fitToPage="1"/>
  </sheetPr>
  <dimension ref="A1:AR108"/>
  <sheetViews>
    <sheetView showGridLines="0" showZeros="0" rightToLeft="1" zoomScale="70" zoomScaleNormal="70" zoomScalePageLayoutView="80" workbookViewId="0">
      <selection activeCell="G6" sqref="G6"/>
    </sheetView>
  </sheetViews>
  <sheetFormatPr defaultColWidth="8.77734375" defaultRowHeight="14.4"/>
  <cols>
    <col min="1" max="1" width="4.5546875" style="2" customWidth="1"/>
    <col min="2" max="2" width="8.109375" style="2" customWidth="1"/>
    <col min="3" max="3" width="18.44140625" style="2" bestFit="1" customWidth="1"/>
    <col min="4" max="5" width="5.33203125" style="2" bestFit="1" customWidth="1"/>
    <col min="6" max="6" width="17.109375" style="2" customWidth="1"/>
    <col min="7" max="37" width="4.5546875" style="2" customWidth="1"/>
    <col min="38" max="42" width="3.88671875" style="2" customWidth="1"/>
    <col min="43" max="43" width="4.21875" style="2" customWidth="1"/>
    <col min="44" max="16384" width="8.77734375" style="2"/>
  </cols>
  <sheetData>
    <row r="1" spans="1:44" ht="29.25" customHeight="1">
      <c r="A1" s="248" t="str">
        <f>تنظیمات!F2</f>
        <v>مرکز آموزشی پژوهشی درمانی بیمارستان بنت الهدی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7"/>
      <c r="O1" s="236" t="s">
        <v>146</v>
      </c>
      <c r="P1" s="230"/>
      <c r="Q1" s="230"/>
      <c r="R1" s="230"/>
      <c r="S1" s="230" t="str">
        <f>تنظیمات!M2</f>
        <v xml:space="preserve">فروردین  </v>
      </c>
      <c r="T1" s="230"/>
      <c r="U1" s="230"/>
      <c r="V1" s="230">
        <f>تنظیمات!O2</f>
        <v>1403</v>
      </c>
      <c r="W1" s="230"/>
      <c r="X1" s="237"/>
      <c r="Y1" s="232" t="str">
        <f>تنظیمات!A2</f>
        <v xml:space="preserve">برنامه عملکرد پزشکان  </v>
      </c>
      <c r="Z1" s="232"/>
      <c r="AA1" s="232"/>
      <c r="AB1" s="232"/>
      <c r="AC1" s="232"/>
      <c r="AD1" s="232"/>
      <c r="AE1" s="232"/>
      <c r="AF1" s="232"/>
      <c r="AG1" s="232"/>
      <c r="AH1" s="233"/>
      <c r="AI1" s="100" t="str">
        <f>تنظیمات!E2</f>
        <v>اورژانس</v>
      </c>
      <c r="AJ1" s="100"/>
      <c r="AK1" s="100"/>
      <c r="AL1" s="100"/>
      <c r="AM1" s="230"/>
      <c r="AN1" s="230"/>
      <c r="AO1" s="230"/>
      <c r="AP1" s="230"/>
      <c r="AQ1" s="231"/>
      <c r="AR1" s="62"/>
    </row>
    <row r="2" spans="1:44" ht="51" customHeight="1">
      <c r="A2" s="245" t="s">
        <v>96</v>
      </c>
      <c r="B2" s="225" t="s">
        <v>75</v>
      </c>
      <c r="C2" s="225" t="s">
        <v>74</v>
      </c>
      <c r="D2" s="223" t="s">
        <v>76</v>
      </c>
      <c r="E2" s="224"/>
      <c r="F2" s="73" t="s">
        <v>73</v>
      </c>
      <c r="G2" s="74" t="str">
        <f>IF(AND(S1=دیتا!A2,V1=دیتا!B2),دیتا!C2,IF(AND(S1=دیتا!A3,V1=دیتا!B3),دیتا!C3,IF(AND(S1=دیتا!A4,V1=دیتا!B4),دیتا!C4,IF(AND(S1=دیتا!A5,V1=دیتا!B5),دیتا!C5,IF(AND(S1=دیتا!A6,V1=دیتا!B6),دیتا!C6,IF(AND(S1=دیتا!A7,V1=دیتا!B7),دیتا!C7,IF(AND(S1=دیتا!A8,V1=دیتا!B8),دیتا!C8,IF(AND(S1=دیتا!A9,V1=دیتا!B9),دیتا!C9,IF(AND(S1=دیتا!A10,V1=دیتا!B10),دیتا!C10,IF(AND(S1=دیتا!A11,V1=دیتا!B11),دیتا!C11,IF(AND(S1=دیتا!A12,V1=دیتا!B12),دیتا!C12,IF(AND(S1=دیتا!A13,V1=دیتا!B13),دیتا!C13,IF(AND(S1=دیتا!A14,V1=دیتا!B14),دیتا!C14,IF(AND(S1=دیتا!A15,V1=دیتا!B15),دیتا!C15,IF(AND(S1=دیتا!A16,V1=دیتا!B16),دیتا!C16,IF(AND(S1=دیتا!A17,V1=دیتا!B17),دیتا!C17,IF(AND(S1=دیتا!A18,V1=دیتا!B18),دیتا!C18,IF(AND(S1=دیتا!A19,V1=دیتا!B19),دیتا!C19,IF(AND(S1=دیتا!A20,V1=دیتا!B20),دیتا!C20,IF(AND(S1=دیتا!A21,V1=دیتا!B21),دیتا!C21,IF(AND(S1=دیتا!A22,V1=دیتا!B22),دیتا!C22,IF(AND(S1=دیتا!A23,V1=دیتا!B23),دیتا!C23,IF(AND(S1=دیتا!A24,V1=دیتا!B24),دیتا!C24,IF(AND(S1=دیتا!A25,V1=دیتا!B25),دیتا!C25,IF(AND(S1=دیتا!A26,V1=دیتا!B26),دیتا!C26,IF(AND(S1=دیتا!A27,V1=دیتا!B27),دیتا!C27,IF(AND(S1=دیتا!A28,V1=دیتا!B28),دیتا!C28,IF(AND(S1=دیتا!A29,V1=دیتا!B29),دیتا!C29,IF(AND(S1=دیتا!A30,V1=دیتا!B30),دیتا!C30,IF(AND(S1=دیتا!A31,V1=دیتا!B31),دیتا!C31,IF(AND(S1=دیتا!A32,V1=دیتا!B32),دیتا!C32,IF(AND(S1=دیتا!A33,V1=دیتا!B33),دیتا!C33,IF(AND(S1=دیتا!A34,V1=دیتا!B34),دیتا!C34,IF(AND(S1=دیتا!A35,V1=دیتا!B35),دیتا!C35,IF(AND(S1=دیتا!A36,V1=دیتا!B36),دیتا!C36,IF(AND(S1=دیتا!A37,V1=دیتا!B37),دیتا!C37,""))))))))))))))))))))))))))))))))))))</f>
        <v>چهار شنبه</v>
      </c>
      <c r="H2" s="74" t="str">
        <f t="shared" ref="H2:AK2" si="0">IF(G2="شنبه","یکشنبه",IF(G2="یکشنبه","دوشنبه",IF(G2="دوشنبه","سه شنبه",IF(G2="سه شنبه","چهار شنبه",IF(G2="چهار شنبه","پنج شنبه",IF(G2="پنج شنبه","جمعه",IF(G2="جمعه","شنبه")))))))</f>
        <v>پنج شنبه</v>
      </c>
      <c r="I2" s="74" t="str">
        <f t="shared" si="0"/>
        <v>جمعه</v>
      </c>
      <c r="J2" s="74" t="str">
        <f t="shared" si="0"/>
        <v>شنبه</v>
      </c>
      <c r="K2" s="74" t="str">
        <f t="shared" si="0"/>
        <v>یکشنبه</v>
      </c>
      <c r="L2" s="74" t="str">
        <f t="shared" si="0"/>
        <v>دوشنبه</v>
      </c>
      <c r="M2" s="74" t="str">
        <f t="shared" si="0"/>
        <v>سه شنبه</v>
      </c>
      <c r="N2" s="74" t="str">
        <f t="shared" si="0"/>
        <v>چهار شنبه</v>
      </c>
      <c r="O2" s="74" t="str">
        <f t="shared" si="0"/>
        <v>پنج شنبه</v>
      </c>
      <c r="P2" s="74" t="str">
        <f t="shared" si="0"/>
        <v>جمعه</v>
      </c>
      <c r="Q2" s="74" t="str">
        <f t="shared" si="0"/>
        <v>شنبه</v>
      </c>
      <c r="R2" s="74" t="str">
        <f t="shared" si="0"/>
        <v>یکشنبه</v>
      </c>
      <c r="S2" s="74" t="str">
        <f t="shared" si="0"/>
        <v>دوشنبه</v>
      </c>
      <c r="T2" s="74" t="str">
        <f t="shared" si="0"/>
        <v>سه شنبه</v>
      </c>
      <c r="U2" s="74" t="str">
        <f t="shared" si="0"/>
        <v>چهار شنبه</v>
      </c>
      <c r="V2" s="74" t="str">
        <f t="shared" si="0"/>
        <v>پنج شنبه</v>
      </c>
      <c r="W2" s="74" t="str">
        <f t="shared" si="0"/>
        <v>جمعه</v>
      </c>
      <c r="X2" s="74" t="str">
        <f t="shared" si="0"/>
        <v>شنبه</v>
      </c>
      <c r="Y2" s="74" t="str">
        <f t="shared" si="0"/>
        <v>یکشنبه</v>
      </c>
      <c r="Z2" s="74" t="str">
        <f t="shared" si="0"/>
        <v>دوشنبه</v>
      </c>
      <c r="AA2" s="74" t="str">
        <f t="shared" si="0"/>
        <v>سه شنبه</v>
      </c>
      <c r="AB2" s="74" t="str">
        <f t="shared" si="0"/>
        <v>چهار شنبه</v>
      </c>
      <c r="AC2" s="74" t="str">
        <f t="shared" si="0"/>
        <v>پنج شنبه</v>
      </c>
      <c r="AD2" s="74" t="str">
        <f t="shared" si="0"/>
        <v>جمعه</v>
      </c>
      <c r="AE2" s="74" t="str">
        <f t="shared" si="0"/>
        <v>شنبه</v>
      </c>
      <c r="AF2" s="74" t="str">
        <f t="shared" si="0"/>
        <v>یکشنبه</v>
      </c>
      <c r="AG2" s="74" t="str">
        <f t="shared" si="0"/>
        <v>دوشنبه</v>
      </c>
      <c r="AH2" s="74" t="str">
        <f t="shared" si="0"/>
        <v>سه شنبه</v>
      </c>
      <c r="AI2" s="74" t="str">
        <f t="shared" si="0"/>
        <v>چهار شنبه</v>
      </c>
      <c r="AJ2" s="74" t="str">
        <f t="shared" si="0"/>
        <v>پنج شنبه</v>
      </c>
      <c r="AK2" s="74" t="str">
        <f t="shared" si="0"/>
        <v>جمعه</v>
      </c>
      <c r="AL2" s="234"/>
      <c r="AM2" s="234"/>
      <c r="AN2" s="234"/>
      <c r="AO2" s="234"/>
      <c r="AP2" s="234"/>
      <c r="AQ2" s="235"/>
      <c r="AR2" s="62"/>
    </row>
    <row r="3" spans="1:44" ht="26.25" customHeight="1">
      <c r="A3" s="246"/>
      <c r="B3" s="226"/>
      <c r="C3" s="226"/>
      <c r="D3" s="228" t="s">
        <v>67</v>
      </c>
      <c r="E3" s="228" t="s">
        <v>68</v>
      </c>
      <c r="F3" s="73" t="s">
        <v>69</v>
      </c>
      <c r="G3" s="70"/>
      <c r="H3" s="70"/>
      <c r="I3" s="70"/>
      <c r="J3" s="70"/>
      <c r="K3" s="70" t="s">
        <v>139</v>
      </c>
      <c r="L3" s="70"/>
      <c r="M3" s="70"/>
      <c r="N3" s="70"/>
      <c r="O3" s="70"/>
      <c r="P3" s="70"/>
      <c r="Q3" s="70"/>
      <c r="R3" s="70"/>
      <c r="S3" s="70" t="s">
        <v>139</v>
      </c>
      <c r="T3" s="70"/>
      <c r="U3" s="70"/>
      <c r="V3" s="70"/>
      <c r="W3" s="70"/>
      <c r="X3" s="70"/>
      <c r="Y3" s="70" t="s">
        <v>139</v>
      </c>
      <c r="Z3" s="70"/>
      <c r="AA3" s="70"/>
      <c r="AB3" s="70"/>
      <c r="AC3" s="70"/>
      <c r="AD3" s="70"/>
      <c r="AE3" s="70"/>
      <c r="AF3" s="70" t="s">
        <v>139</v>
      </c>
      <c r="AG3" s="70"/>
      <c r="AH3" s="70"/>
      <c r="AI3" s="70"/>
      <c r="AJ3" s="70"/>
      <c r="AK3" s="70"/>
      <c r="AL3" s="234"/>
      <c r="AM3" s="234"/>
      <c r="AN3" s="234"/>
      <c r="AO3" s="234"/>
      <c r="AP3" s="234"/>
      <c r="AQ3" s="235"/>
      <c r="AR3" s="62"/>
    </row>
    <row r="4" spans="1:44" ht="28.5" customHeight="1" thickBot="1">
      <c r="A4" s="247"/>
      <c r="B4" s="227"/>
      <c r="C4" s="227"/>
      <c r="D4" s="229"/>
      <c r="E4" s="229"/>
      <c r="F4" s="87" t="s">
        <v>56</v>
      </c>
      <c r="G4" s="88">
        <v>1</v>
      </c>
      <c r="H4" s="88">
        <v>2</v>
      </c>
      <c r="I4" s="88">
        <v>3</v>
      </c>
      <c r="J4" s="88">
        <v>4</v>
      </c>
      <c r="K4" s="88">
        <v>5</v>
      </c>
      <c r="L4" s="88">
        <v>6</v>
      </c>
      <c r="M4" s="88">
        <v>7</v>
      </c>
      <c r="N4" s="88">
        <v>8</v>
      </c>
      <c r="O4" s="88">
        <v>9</v>
      </c>
      <c r="P4" s="88">
        <v>10</v>
      </c>
      <c r="Q4" s="88">
        <v>11</v>
      </c>
      <c r="R4" s="88">
        <v>12</v>
      </c>
      <c r="S4" s="88">
        <v>13</v>
      </c>
      <c r="T4" s="88">
        <v>14</v>
      </c>
      <c r="U4" s="88">
        <v>15</v>
      </c>
      <c r="V4" s="88">
        <v>16</v>
      </c>
      <c r="W4" s="88">
        <v>17</v>
      </c>
      <c r="X4" s="88">
        <v>18</v>
      </c>
      <c r="Y4" s="88">
        <v>19</v>
      </c>
      <c r="Z4" s="88">
        <v>20</v>
      </c>
      <c r="AA4" s="88">
        <v>21</v>
      </c>
      <c r="AB4" s="88">
        <v>22</v>
      </c>
      <c r="AC4" s="88">
        <v>23</v>
      </c>
      <c r="AD4" s="88">
        <v>24</v>
      </c>
      <c r="AE4" s="88">
        <v>25</v>
      </c>
      <c r="AF4" s="88">
        <v>26</v>
      </c>
      <c r="AG4" s="88">
        <v>27</v>
      </c>
      <c r="AH4" s="88">
        <v>28</v>
      </c>
      <c r="AI4" s="88">
        <v>29</v>
      </c>
      <c r="AJ4" s="88">
        <v>30</v>
      </c>
      <c r="AK4" s="88">
        <v>31</v>
      </c>
      <c r="AL4" s="89" t="s">
        <v>50</v>
      </c>
      <c r="AM4" s="89" t="s">
        <v>62</v>
      </c>
      <c r="AN4" s="89" t="s">
        <v>53</v>
      </c>
      <c r="AO4" s="89" t="s">
        <v>66</v>
      </c>
      <c r="AP4" s="89" t="s">
        <v>65</v>
      </c>
      <c r="AQ4" s="90" t="s">
        <v>64</v>
      </c>
      <c r="AR4" s="62"/>
    </row>
    <row r="5" spans="1:44" ht="22.5" customHeight="1">
      <c r="A5" s="80">
        <v>1</v>
      </c>
      <c r="B5" s="81" t="str">
        <f>IFERROR(INDEX(تنظیمات!$B$5:$J$32,MATCH('برنامه فروردین'!F5,تنظیمات!$C$5:$C$32,0),9),"")</f>
        <v/>
      </c>
      <c r="C5" s="81" t="str">
        <f>IFERROR(INDEX(تنظیمات!$B$5:$J$32,MATCH('برنامه فروردین'!F5,تنظیمات!$C$5:$C$32,0),4),"")</f>
        <v/>
      </c>
      <c r="D5" s="82" t="str">
        <f>IFERROR(INDEX(تنظیمات!$B$5:$J$32,MATCH('برنامه فروردین'!F5,تنظیمات!$C$5:$C$32,0),5),"")</f>
        <v/>
      </c>
      <c r="E5" s="83" t="str">
        <f>IFERROR(INDEX(تنظیمات!$B$5:$J$32,MATCH('برنامه فروردین'!F5,تنظیمات!$C$5:$C$32,0),6),"")</f>
        <v/>
      </c>
      <c r="F5" s="81" t="str">
        <f>IFERROR(INDEX(دیتا!$J$2:$K$26,MATCH('برنامه فروردین'!A5,دیتا!$J$2:$J$26,0),2),"")</f>
        <v/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5">
        <f t="shared" ref="AL5:AL29" si="1">COUNTIF(G5:AK5,"=M")+COUNTIF(G5:AK5,"=ME")+COUNTIF(G5:AK5,"=MN")</f>
        <v>0</v>
      </c>
      <c r="AM5" s="85">
        <f t="shared" ref="AM5:AM29" si="2">COUNTIF(G5:AK5,"=E")+COUNTIF(G5:AK5,"=ME")+COUNTIF(G5:AK5,"=en")</f>
        <v>0</v>
      </c>
      <c r="AN5" s="85">
        <f t="shared" ref="AN5:AN29" si="3">COUNTIF(G5:AK5,"=N")+COUNTIF(G5:AK5,"=MN")+COUNTIF(G5:AK5,"=en")</f>
        <v>0</v>
      </c>
      <c r="AO5" s="85">
        <f t="shared" ref="AO5:AO29" si="4">COUNTIF(G5:AK5,"=H")</f>
        <v>0</v>
      </c>
      <c r="AP5" s="85">
        <f t="shared" ref="AP5:AP29" si="5">COUNTIF(G5:AK5,"=S")</f>
        <v>0</v>
      </c>
      <c r="AQ5" s="86">
        <f t="shared" ref="AQ5:AQ29" si="6">AL5+AM5+(AN5*2)</f>
        <v>0</v>
      </c>
      <c r="AR5" s="62"/>
    </row>
    <row r="6" spans="1:44" ht="22.5" customHeight="1">
      <c r="A6" s="75">
        <v>2</v>
      </c>
      <c r="B6" s="73" t="str">
        <f>IFERROR(INDEX(تنظیمات!$B$5:$J$32,MATCH('برنامه فروردین'!F6,تنظیمات!$C$5:$C$32,0),9),"")</f>
        <v>رسمی</v>
      </c>
      <c r="C6" s="73" t="str">
        <f>IFERROR(INDEX(تنظیمات!$B$5:$J$32,MATCH('برنامه فروردین'!F6,تنظیمات!$C$5:$C$32,0),4),"")</f>
        <v>دکتری عمومی</v>
      </c>
      <c r="D6" s="76">
        <f>IFERROR(INDEX(تنظیمات!$B$5:$J$32,MATCH('برنامه فروردین'!F6,تنظیمات!$C$5:$C$32,0),5),"")</f>
        <v>17</v>
      </c>
      <c r="E6" s="77">
        <f>IFERROR(INDEX(تنظیمات!$B$5:$J$32,MATCH('برنامه فروردین'!F6,تنظیمات!$C$5:$C$32,0),6),"")</f>
        <v>2</v>
      </c>
      <c r="F6" s="73" t="str">
        <f>IFERROR(INDEX(دیتا!$J$2:$K$26,MATCH('برنامه فروردین'!A6,دیتا!$J$2:$J$26,0),2),"")</f>
        <v>دکتر علی</v>
      </c>
      <c r="G6" s="78" t="s">
        <v>53</v>
      </c>
      <c r="H6" s="78"/>
      <c r="I6" s="78" t="s">
        <v>62</v>
      </c>
      <c r="J6" s="78" t="s">
        <v>53</v>
      </c>
      <c r="K6" s="78"/>
      <c r="L6" s="78" t="s">
        <v>62</v>
      </c>
      <c r="M6" s="78"/>
      <c r="N6" s="78" t="s">
        <v>53</v>
      </c>
      <c r="O6" s="78"/>
      <c r="P6" s="78" t="s">
        <v>62</v>
      </c>
      <c r="Q6" s="78" t="s">
        <v>81</v>
      </c>
      <c r="R6" s="78" t="s">
        <v>53</v>
      </c>
      <c r="S6" s="78" t="s">
        <v>62</v>
      </c>
      <c r="T6" s="78" t="s">
        <v>50</v>
      </c>
      <c r="U6" s="78"/>
      <c r="V6" s="78" t="s">
        <v>50</v>
      </c>
      <c r="W6" s="78" t="s">
        <v>53</v>
      </c>
      <c r="X6" s="78" t="s">
        <v>62</v>
      </c>
      <c r="Y6" s="78"/>
      <c r="Z6" s="78" t="s">
        <v>53</v>
      </c>
      <c r="AA6" s="78" t="s">
        <v>62</v>
      </c>
      <c r="AB6" s="78"/>
      <c r="AC6" s="78"/>
      <c r="AD6" s="78"/>
      <c r="AE6" s="78"/>
      <c r="AF6" s="78" t="s">
        <v>53</v>
      </c>
      <c r="AG6" s="78" t="s">
        <v>53</v>
      </c>
      <c r="AH6" s="78"/>
      <c r="AI6" s="78"/>
      <c r="AJ6" s="78" t="s">
        <v>62</v>
      </c>
      <c r="AK6" s="78"/>
      <c r="AL6" s="77">
        <f t="shared" si="1"/>
        <v>3</v>
      </c>
      <c r="AM6" s="77">
        <f t="shared" si="2"/>
        <v>7</v>
      </c>
      <c r="AN6" s="77">
        <f t="shared" si="3"/>
        <v>9</v>
      </c>
      <c r="AO6" s="77">
        <f t="shared" si="4"/>
        <v>0</v>
      </c>
      <c r="AP6" s="77">
        <f t="shared" si="5"/>
        <v>0</v>
      </c>
      <c r="AQ6" s="79">
        <f t="shared" si="6"/>
        <v>28</v>
      </c>
      <c r="AR6" s="62"/>
    </row>
    <row r="7" spans="1:44" ht="22.5" customHeight="1">
      <c r="A7" s="43">
        <v>3</v>
      </c>
      <c r="B7" s="49" t="str">
        <f>IFERROR(INDEX(تنظیمات!$B$5:$J$32,MATCH('برنامه فروردین'!F7,تنظیمات!$C$5:$C$32,0),9),"")</f>
        <v>پیمانی</v>
      </c>
      <c r="C7" s="49" t="str">
        <f>IFERROR(INDEX(تنظیمات!$B$5:$J$32,MATCH('برنامه فروردین'!F7,تنظیمات!$C$5:$C$32,0),4),"")</f>
        <v>دکتری عمومی</v>
      </c>
      <c r="D7" s="50">
        <f>IFERROR(INDEX(تنظیمات!$B$5:$J$32,MATCH('برنامه فروردین'!F7,تنظیمات!$C$5:$C$32,0),5),"")</f>
        <v>5</v>
      </c>
      <c r="E7" s="51">
        <f>IFERROR(INDEX(تنظیمات!$B$5:$J$32,MATCH('برنامه فروردین'!F7,تنظیمات!$C$5:$C$32,0),6),"")</f>
        <v>4</v>
      </c>
      <c r="F7" s="49" t="str">
        <f>IFERROR(INDEX(دیتا!$J$2:$K$26,MATCH('برنامه فروردین'!A7,دیتا!$J$2:$J$26,0),2),"")</f>
        <v>دکتر خالد</v>
      </c>
      <c r="G7" s="71"/>
      <c r="H7" s="71" t="s">
        <v>53</v>
      </c>
      <c r="I7" s="71"/>
      <c r="J7" s="71" t="s">
        <v>50</v>
      </c>
      <c r="K7" s="71" t="s">
        <v>50</v>
      </c>
      <c r="L7" s="71"/>
      <c r="M7" s="71" t="s">
        <v>50</v>
      </c>
      <c r="N7" s="71" t="s">
        <v>165</v>
      </c>
      <c r="O7" s="71" t="s">
        <v>53</v>
      </c>
      <c r="P7" s="71"/>
      <c r="Q7" s="71"/>
      <c r="R7" s="71"/>
      <c r="S7" s="71"/>
      <c r="T7" s="71" t="s">
        <v>53</v>
      </c>
      <c r="U7" s="71" t="s">
        <v>53</v>
      </c>
      <c r="V7" s="71"/>
      <c r="W7" s="71" t="s">
        <v>50</v>
      </c>
      <c r="X7" s="71" t="s">
        <v>53</v>
      </c>
      <c r="Y7" s="71" t="s">
        <v>62</v>
      </c>
      <c r="Z7" s="71" t="s">
        <v>50</v>
      </c>
      <c r="AA7" s="71" t="s">
        <v>50</v>
      </c>
      <c r="AB7" s="71"/>
      <c r="AC7" s="71"/>
      <c r="AD7" s="71" t="s">
        <v>66</v>
      </c>
      <c r="AE7" s="71" t="s">
        <v>66</v>
      </c>
      <c r="AF7" s="71"/>
      <c r="AG7" s="71"/>
      <c r="AH7" s="71" t="s">
        <v>50</v>
      </c>
      <c r="AI7" s="71" t="s">
        <v>53</v>
      </c>
      <c r="AJ7" s="71"/>
      <c r="AK7" s="71"/>
      <c r="AL7" s="44">
        <f t="shared" si="1"/>
        <v>7</v>
      </c>
      <c r="AM7" s="44">
        <f t="shared" si="2"/>
        <v>2</v>
      </c>
      <c r="AN7" s="44">
        <f t="shared" si="3"/>
        <v>7</v>
      </c>
      <c r="AO7" s="44">
        <f t="shared" si="4"/>
        <v>2</v>
      </c>
      <c r="AP7" s="44">
        <f t="shared" si="5"/>
        <v>0</v>
      </c>
      <c r="AQ7" s="45">
        <f t="shared" si="6"/>
        <v>23</v>
      </c>
      <c r="AR7" s="62"/>
    </row>
    <row r="8" spans="1:44" ht="22.5" customHeight="1">
      <c r="A8" s="75">
        <v>4</v>
      </c>
      <c r="B8" s="73" t="str">
        <f>IFERROR(INDEX(تنظیمات!$B$5:$J$32,MATCH('برنامه فروردین'!F8,تنظیمات!$C$5:$C$32,0),9),"")</f>
        <v/>
      </c>
      <c r="C8" s="73" t="str">
        <f>IFERROR(INDEX(تنظیمات!$B$5:$J$32,MATCH('برنامه فروردین'!F8,تنظیمات!$C$5:$C$32,0),4),"")</f>
        <v/>
      </c>
      <c r="D8" s="76" t="str">
        <f>IFERROR(INDEX(تنظیمات!$B$5:$J$32,MATCH('برنامه فروردین'!F8,تنظیمات!$C$5:$C$32,0),5),"")</f>
        <v/>
      </c>
      <c r="E8" s="77" t="str">
        <f>IFERROR(INDEX(تنظیمات!$B$5:$J$32,MATCH('برنامه فروردین'!F8,تنظیمات!$C$5:$C$32,0),6),"")</f>
        <v/>
      </c>
      <c r="F8" s="73" t="str">
        <f>IFERROR(INDEX(دیتا!$J$2:$K$26,MATCH('برنامه فروردین'!A8,دیتا!$J$2:$J$26,0),2),"")</f>
        <v/>
      </c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7">
        <f t="shared" si="1"/>
        <v>0</v>
      </c>
      <c r="AM8" s="77">
        <f t="shared" si="2"/>
        <v>0</v>
      </c>
      <c r="AN8" s="77">
        <f t="shared" si="3"/>
        <v>0</v>
      </c>
      <c r="AO8" s="77">
        <f t="shared" si="4"/>
        <v>0</v>
      </c>
      <c r="AP8" s="77">
        <f t="shared" si="5"/>
        <v>0</v>
      </c>
      <c r="AQ8" s="79">
        <f t="shared" si="6"/>
        <v>0</v>
      </c>
      <c r="AR8" s="62"/>
    </row>
    <row r="9" spans="1:44" ht="22.5" customHeight="1">
      <c r="A9" s="43">
        <v>5</v>
      </c>
      <c r="B9" s="49" t="str">
        <f>IFERROR(INDEX(تنظیمات!$B$5:$J$32,MATCH('برنامه فروردین'!F9,تنظیمات!$C$5:$C$32,0),9),"")</f>
        <v/>
      </c>
      <c r="C9" s="49" t="str">
        <f>IFERROR(INDEX(تنظیمات!$B$5:$J$32,MATCH('برنامه فروردین'!F9,تنظیمات!$C$5:$C$32,0),4),"")</f>
        <v/>
      </c>
      <c r="D9" s="50" t="str">
        <f>IFERROR(INDEX(تنظیمات!$B$5:$J$32,MATCH('برنامه فروردین'!F9,تنظیمات!$C$5:$C$32,0),5),"")</f>
        <v/>
      </c>
      <c r="E9" s="51" t="str">
        <f>IFERROR(INDEX(تنظیمات!$B$5:$J$32,MATCH('برنامه فروردین'!F9,تنظیمات!$C$5:$C$32,0),6),"")</f>
        <v/>
      </c>
      <c r="F9" s="49" t="str">
        <f>IFERROR(INDEX(دیتا!$J$2:$K$26,MATCH('برنامه فروردین'!A9,دیتا!$J$2:$J$26,0),2),"")</f>
        <v/>
      </c>
      <c r="G9" s="71"/>
      <c r="H9" s="71"/>
      <c r="I9" s="71"/>
      <c r="J9" s="71"/>
      <c r="K9" s="71"/>
      <c r="L9" s="71" t="s">
        <v>62</v>
      </c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44">
        <f t="shared" si="1"/>
        <v>0</v>
      </c>
      <c r="AM9" s="44">
        <f t="shared" si="2"/>
        <v>1</v>
      </c>
      <c r="AN9" s="44">
        <f t="shared" si="3"/>
        <v>0</v>
      </c>
      <c r="AO9" s="44">
        <f t="shared" si="4"/>
        <v>0</v>
      </c>
      <c r="AP9" s="44">
        <f t="shared" si="5"/>
        <v>0</v>
      </c>
      <c r="AQ9" s="45">
        <f t="shared" si="6"/>
        <v>1</v>
      </c>
      <c r="AR9" s="62"/>
    </row>
    <row r="10" spans="1:44" ht="22.5" customHeight="1">
      <c r="A10" s="75">
        <v>6</v>
      </c>
      <c r="B10" s="73" t="str">
        <f>IFERROR(INDEX(تنظیمات!$B$5:$J$32,MATCH('برنامه فروردین'!F10,تنظیمات!$C$5:$C$32,0),9),"")</f>
        <v>طرحی</v>
      </c>
      <c r="C10" s="73" t="str">
        <f>IFERROR(INDEX(تنظیمات!$B$5:$J$32,MATCH('برنامه فروردین'!F10,تنظیمات!$C$5:$C$32,0),4),"")</f>
        <v>دکتری عمومی</v>
      </c>
      <c r="D10" s="76">
        <f>IFERROR(INDEX(تنظیمات!$B$5:$J$32,MATCH('برنامه فروردین'!F10,تنظیمات!$C$5:$C$32,0),5),"")</f>
        <v>0</v>
      </c>
      <c r="E10" s="77">
        <f>IFERROR(INDEX(تنظیمات!$B$5:$J$32,MATCH('برنامه فروردین'!F10,تنظیمات!$C$5:$C$32,0),6),"")</f>
        <v>12</v>
      </c>
      <c r="F10" s="73" t="str">
        <f>IFERROR(INDEX(دیتا!$J$2:$K$26,MATCH('برنامه فروردین'!A10,دیتا!$J$2:$J$26,0),2),"")</f>
        <v>دکتر صبا</v>
      </c>
      <c r="G10" s="78"/>
      <c r="H10" s="78"/>
      <c r="I10" s="78" t="s">
        <v>53</v>
      </c>
      <c r="J10" s="78"/>
      <c r="K10" s="78" t="s">
        <v>62</v>
      </c>
      <c r="L10" s="78" t="s">
        <v>53</v>
      </c>
      <c r="M10" s="78"/>
      <c r="N10" s="78"/>
      <c r="O10" s="78"/>
      <c r="P10" s="78"/>
      <c r="Q10" s="78"/>
      <c r="R10" s="78"/>
      <c r="S10" s="78" t="s">
        <v>53</v>
      </c>
      <c r="T10" s="78"/>
      <c r="U10" s="78" t="s">
        <v>50</v>
      </c>
      <c r="V10" s="78"/>
      <c r="W10" s="78"/>
      <c r="X10" s="78"/>
      <c r="Y10" s="78" t="s">
        <v>81</v>
      </c>
      <c r="Z10" s="78"/>
      <c r="AA10" s="78" t="s">
        <v>53</v>
      </c>
      <c r="AB10" s="78"/>
      <c r="AC10" s="78" t="s">
        <v>50</v>
      </c>
      <c r="AD10" s="78" t="s">
        <v>53</v>
      </c>
      <c r="AE10" s="78"/>
      <c r="AF10" s="78" t="s">
        <v>50</v>
      </c>
      <c r="AG10" s="78"/>
      <c r="AH10" s="78" t="s">
        <v>53</v>
      </c>
      <c r="AI10" s="78"/>
      <c r="AJ10" s="78"/>
      <c r="AK10" s="78"/>
      <c r="AL10" s="77">
        <f t="shared" si="1"/>
        <v>4</v>
      </c>
      <c r="AM10" s="77">
        <f t="shared" si="2"/>
        <v>1</v>
      </c>
      <c r="AN10" s="77">
        <f t="shared" si="3"/>
        <v>7</v>
      </c>
      <c r="AO10" s="77">
        <f t="shared" si="4"/>
        <v>0</v>
      </c>
      <c r="AP10" s="77">
        <f t="shared" si="5"/>
        <v>0</v>
      </c>
      <c r="AQ10" s="79">
        <f t="shared" si="6"/>
        <v>19</v>
      </c>
      <c r="AR10" s="62"/>
    </row>
    <row r="11" spans="1:44" ht="22.5" customHeight="1">
      <c r="A11" s="43">
        <v>7</v>
      </c>
      <c r="B11" s="49" t="str">
        <f>IFERROR(INDEX(تنظیمات!$B$5:$J$32,MATCH('برنامه فروردین'!F11,تنظیمات!$C$5:$C$32,0),9),"")</f>
        <v>تفاهمی</v>
      </c>
      <c r="C11" s="49" t="str">
        <f>IFERROR(INDEX(تنظیمات!$B$5:$J$32,MATCH('برنامه فروردین'!F11,تنظیمات!$C$5:$C$32,0),4),"")</f>
        <v>دکتری عمومی</v>
      </c>
      <c r="D11" s="50">
        <f>IFERROR(INDEX(تنظیمات!$B$5:$J$32,MATCH('برنامه فروردین'!F11,تنظیمات!$C$5:$C$32,0),5),"")</f>
        <v>0</v>
      </c>
      <c r="E11" s="51">
        <f>IFERROR(INDEX(تنظیمات!$B$5:$J$32,MATCH('برنامه فروردین'!F11,تنظیمات!$C$5:$C$32,0),6),"")</f>
        <v>7</v>
      </c>
      <c r="F11" s="49" t="str">
        <f>IFERROR(INDEX(دیتا!$J$2:$K$26,MATCH('برنامه فروردین'!A11,دیتا!$J$2:$J$26,0),2),"")</f>
        <v>دکتر لیلا</v>
      </c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44">
        <f t="shared" si="1"/>
        <v>0</v>
      </c>
      <c r="AM11" s="44">
        <f t="shared" si="2"/>
        <v>0</v>
      </c>
      <c r="AN11" s="44">
        <f t="shared" si="3"/>
        <v>0</v>
      </c>
      <c r="AO11" s="44">
        <f t="shared" si="4"/>
        <v>0</v>
      </c>
      <c r="AP11" s="44">
        <f t="shared" si="5"/>
        <v>0</v>
      </c>
      <c r="AQ11" s="45">
        <f t="shared" si="6"/>
        <v>0</v>
      </c>
      <c r="AR11" s="62"/>
    </row>
    <row r="12" spans="1:44" ht="22.5" customHeight="1">
      <c r="A12" s="75">
        <v>8</v>
      </c>
      <c r="B12" s="73" t="str">
        <f>IFERROR(INDEX(تنظیمات!$B$5:$J$32,MATCH('برنامه فروردین'!F12,تنظیمات!$C$5:$C$32,0),9),"")</f>
        <v>طرحی</v>
      </c>
      <c r="C12" s="73" t="str">
        <f>IFERROR(INDEX(تنظیمات!$B$5:$J$32,MATCH('برنامه فروردین'!F12,تنظیمات!$C$5:$C$32,0),4),"")</f>
        <v>دکتری عمومی</v>
      </c>
      <c r="D12" s="76">
        <f>IFERROR(INDEX(تنظیمات!$B$5:$J$32,MATCH('برنامه فروردین'!F12,تنظیمات!$C$5:$C$32,0),5),"")</f>
        <v>0</v>
      </c>
      <c r="E12" s="77">
        <f>IFERROR(INDEX(تنظیمات!$B$5:$J$32,MATCH('برنامه فروردین'!F12,تنظیمات!$C$5:$C$32,0),6),"")</f>
        <v>6</v>
      </c>
      <c r="F12" s="73" t="str">
        <f>IFERROR(INDEX(دیتا!$J$2:$K$26,MATCH('برنامه فروردین'!A12,دیتا!$J$2:$J$26,0),2),"")</f>
        <v>دکتر محسن</v>
      </c>
      <c r="G12" s="78"/>
      <c r="H12" s="78" t="s">
        <v>62</v>
      </c>
      <c r="I12" s="78" t="s">
        <v>50</v>
      </c>
      <c r="J12" s="78"/>
      <c r="K12" s="78" t="s">
        <v>53</v>
      </c>
      <c r="L12" s="78"/>
      <c r="M12" s="78" t="s">
        <v>53</v>
      </c>
      <c r="N12" s="78"/>
      <c r="O12" s="78" t="s">
        <v>50</v>
      </c>
      <c r="P12" s="78" t="s">
        <v>53</v>
      </c>
      <c r="Q12" s="78"/>
      <c r="R12" s="78" t="s">
        <v>62</v>
      </c>
      <c r="S12" s="78" t="s">
        <v>50</v>
      </c>
      <c r="T12" s="78"/>
      <c r="U12" s="78"/>
      <c r="V12" s="78"/>
      <c r="W12" s="78"/>
      <c r="X12" s="78"/>
      <c r="Y12" s="78"/>
      <c r="Z12" s="78" t="s">
        <v>62</v>
      </c>
      <c r="AA12" s="78"/>
      <c r="AB12" s="78" t="s">
        <v>53</v>
      </c>
      <c r="AC12" s="78" t="s">
        <v>53</v>
      </c>
      <c r="AD12" s="78"/>
      <c r="AE12" s="78" t="s">
        <v>81</v>
      </c>
      <c r="AF12" s="78" t="s">
        <v>62</v>
      </c>
      <c r="AG12" s="78" t="s">
        <v>62</v>
      </c>
      <c r="AH12" s="78" t="s">
        <v>62</v>
      </c>
      <c r="AI12" s="78"/>
      <c r="AJ12" s="78"/>
      <c r="AK12" s="78"/>
      <c r="AL12" s="77">
        <f t="shared" si="1"/>
        <v>4</v>
      </c>
      <c r="AM12" s="77">
        <f t="shared" si="2"/>
        <v>6</v>
      </c>
      <c r="AN12" s="77">
        <f t="shared" si="3"/>
        <v>6</v>
      </c>
      <c r="AO12" s="77">
        <f t="shared" si="4"/>
        <v>0</v>
      </c>
      <c r="AP12" s="77">
        <f t="shared" si="5"/>
        <v>0</v>
      </c>
      <c r="AQ12" s="79">
        <f t="shared" si="6"/>
        <v>22</v>
      </c>
      <c r="AR12" s="62"/>
    </row>
    <row r="13" spans="1:44" ht="22.5" customHeight="1">
      <c r="A13" s="43">
        <v>9</v>
      </c>
      <c r="B13" s="49" t="str">
        <f>IFERROR(INDEX(تنظیمات!$B$5:$J$32,MATCH('برنامه فروردین'!F13,تنظیمات!$C$5:$C$32,0),9),"")</f>
        <v/>
      </c>
      <c r="C13" s="49" t="str">
        <f>IFERROR(INDEX(تنظیمات!$B$5:$J$32,MATCH('برنامه فروردین'!F13,تنظیمات!$C$5:$C$32,0),4),"")</f>
        <v/>
      </c>
      <c r="D13" s="50" t="str">
        <f>IFERROR(INDEX(تنظیمات!$B$5:$J$32,MATCH('برنامه فروردین'!F13,تنظیمات!$C$5:$C$32,0),5),"")</f>
        <v/>
      </c>
      <c r="E13" s="51" t="str">
        <f>IFERROR(INDEX(تنظیمات!$B$5:$J$32,MATCH('برنامه فروردین'!F13,تنظیمات!$C$5:$C$32,0),6),"")</f>
        <v/>
      </c>
      <c r="F13" s="49" t="str">
        <f>IFERROR(INDEX(دیتا!$J$2:$K$26,MATCH('برنامه فروردین'!A13,دیتا!$J$2:$J$26,0),2),"")</f>
        <v/>
      </c>
      <c r="G13" s="71" t="s">
        <v>50</v>
      </c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 t="s">
        <v>50</v>
      </c>
      <c r="S13" s="71"/>
      <c r="T13" s="71" t="s">
        <v>62</v>
      </c>
      <c r="U13" s="71" t="s">
        <v>62</v>
      </c>
      <c r="V13" s="71" t="s">
        <v>53</v>
      </c>
      <c r="W13" s="71"/>
      <c r="X13" s="71"/>
      <c r="Y13" s="71"/>
      <c r="Z13" s="71"/>
      <c r="AA13" s="71"/>
      <c r="AB13" s="71"/>
      <c r="AC13" s="71" t="s">
        <v>62</v>
      </c>
      <c r="AD13" s="71"/>
      <c r="AE13" s="71"/>
      <c r="AF13" s="71"/>
      <c r="AG13" s="71"/>
      <c r="AH13" s="71"/>
      <c r="AI13" s="71"/>
      <c r="AJ13" s="71" t="s">
        <v>53</v>
      </c>
      <c r="AK13" s="71"/>
      <c r="AL13" s="44">
        <f t="shared" si="1"/>
        <v>2</v>
      </c>
      <c r="AM13" s="44">
        <f t="shared" si="2"/>
        <v>3</v>
      </c>
      <c r="AN13" s="44">
        <f t="shared" si="3"/>
        <v>2</v>
      </c>
      <c r="AO13" s="44">
        <f t="shared" si="4"/>
        <v>0</v>
      </c>
      <c r="AP13" s="44">
        <f t="shared" si="5"/>
        <v>0</v>
      </c>
      <c r="AQ13" s="45">
        <f t="shared" si="6"/>
        <v>9</v>
      </c>
      <c r="AR13" s="62"/>
    </row>
    <row r="14" spans="1:44" ht="22.5" customHeight="1">
      <c r="A14" s="75">
        <v>10</v>
      </c>
      <c r="B14" s="73" t="str">
        <f>IFERROR(INDEX(تنظیمات!$B$5:$J$32,MATCH('برنامه فروردین'!F14,تنظیمات!$C$5:$C$32,0),9),"")</f>
        <v/>
      </c>
      <c r="C14" s="73" t="str">
        <f>IFERROR(INDEX(تنظیمات!$B$5:$J$32,MATCH('برنامه فروردین'!F14,تنظیمات!$C$5:$C$32,0),4),"")</f>
        <v/>
      </c>
      <c r="D14" s="76" t="str">
        <f>IFERROR(INDEX(تنظیمات!$B$5:$J$32,MATCH('برنامه فروردین'!F14,تنظیمات!$C$5:$C$32,0),5),"")</f>
        <v/>
      </c>
      <c r="E14" s="77" t="str">
        <f>IFERROR(INDEX(تنظیمات!$B$5:$J$32,MATCH('برنامه فروردین'!F14,تنظیمات!$C$5:$C$32,0),6),"")</f>
        <v/>
      </c>
      <c r="F14" s="73" t="str">
        <f>IFERROR(INDEX(دیتا!$J$2:$K$26,MATCH('برنامه فروردین'!A14,دیتا!$J$2:$J$26,0),2),"")</f>
        <v/>
      </c>
      <c r="G14" s="78" t="s">
        <v>62</v>
      </c>
      <c r="H14" s="78" t="s">
        <v>50</v>
      </c>
      <c r="I14" s="78"/>
      <c r="J14" s="78" t="s">
        <v>62</v>
      </c>
      <c r="K14" s="78"/>
      <c r="L14" s="78" t="s">
        <v>50</v>
      </c>
      <c r="M14" s="78" t="s">
        <v>62</v>
      </c>
      <c r="N14" s="78" t="s">
        <v>62</v>
      </c>
      <c r="O14" s="78" t="s">
        <v>62</v>
      </c>
      <c r="P14" s="78" t="s">
        <v>50</v>
      </c>
      <c r="Q14" s="78" t="s">
        <v>62</v>
      </c>
      <c r="R14" s="78"/>
      <c r="S14" s="78"/>
      <c r="T14" s="78"/>
      <c r="U14" s="78"/>
      <c r="V14" s="78" t="s">
        <v>62</v>
      </c>
      <c r="W14" s="78" t="s">
        <v>62</v>
      </c>
      <c r="X14" s="78" t="s">
        <v>50</v>
      </c>
      <c r="Y14" s="78"/>
      <c r="Z14" s="78"/>
      <c r="AA14" s="78"/>
      <c r="AB14" s="78" t="s">
        <v>80</v>
      </c>
      <c r="AC14" s="78"/>
      <c r="AD14" s="78" t="s">
        <v>80</v>
      </c>
      <c r="AE14" s="78" t="s">
        <v>62</v>
      </c>
      <c r="AF14" s="78"/>
      <c r="AG14" s="78" t="s">
        <v>50</v>
      </c>
      <c r="AH14" s="78"/>
      <c r="AI14" s="78" t="s">
        <v>80</v>
      </c>
      <c r="AJ14" s="78" t="s">
        <v>50</v>
      </c>
      <c r="AK14" s="78"/>
      <c r="AL14" s="77">
        <f t="shared" si="1"/>
        <v>9</v>
      </c>
      <c r="AM14" s="77">
        <f t="shared" si="2"/>
        <v>12</v>
      </c>
      <c r="AN14" s="77">
        <f t="shared" si="3"/>
        <v>0</v>
      </c>
      <c r="AO14" s="77">
        <f t="shared" si="4"/>
        <v>0</v>
      </c>
      <c r="AP14" s="77">
        <f t="shared" si="5"/>
        <v>0</v>
      </c>
      <c r="AQ14" s="79">
        <f t="shared" si="6"/>
        <v>21</v>
      </c>
      <c r="AR14" s="62"/>
    </row>
    <row r="15" spans="1:44" ht="22.5" customHeight="1">
      <c r="A15" s="43">
        <v>11</v>
      </c>
      <c r="B15" s="49" t="str">
        <f>IFERROR(INDEX(تنظیمات!$B$5:$J$32,MATCH('برنامه فروردین'!F15,تنظیمات!$C$5:$C$32,0),9),"")</f>
        <v>قراردادی</v>
      </c>
      <c r="C15" s="49" t="str">
        <f>IFERROR(INDEX(تنظیمات!$B$5:$J$32,MATCH('برنامه فروردین'!F15,تنظیمات!$C$5:$C$32,0),4),"")</f>
        <v>دکتری عمومی</v>
      </c>
      <c r="D15" s="50">
        <f>IFERROR(INDEX(تنظیمات!$B$5:$J$32,MATCH('برنامه فروردین'!F15,تنظیمات!$C$5:$C$32,0),5),"")</f>
        <v>0</v>
      </c>
      <c r="E15" s="51">
        <f>IFERROR(INDEX(تنظیمات!$B$5:$J$32,MATCH('برنامه فروردین'!F15,تنظیمات!$C$5:$C$32,0),6),"")</f>
        <v>0</v>
      </c>
      <c r="F15" s="49" t="str">
        <f>IFERROR(INDEX(دیتا!$J$2:$K$26,MATCH('برنامه فروردین'!A15,دیتا!$J$2:$J$26,0),2),"")</f>
        <v>دکتر عاطفه</v>
      </c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44">
        <f t="shared" si="1"/>
        <v>0</v>
      </c>
      <c r="AM15" s="44">
        <f t="shared" si="2"/>
        <v>0</v>
      </c>
      <c r="AN15" s="44">
        <f t="shared" si="3"/>
        <v>0</v>
      </c>
      <c r="AO15" s="44">
        <f t="shared" si="4"/>
        <v>0</v>
      </c>
      <c r="AP15" s="44">
        <f t="shared" si="5"/>
        <v>0</v>
      </c>
      <c r="AQ15" s="45">
        <f t="shared" si="6"/>
        <v>0</v>
      </c>
      <c r="AR15" s="62"/>
    </row>
    <row r="16" spans="1:44" ht="22.5" customHeight="1">
      <c r="A16" s="75">
        <v>12</v>
      </c>
      <c r="B16" s="73" t="str">
        <f>IFERROR(INDEX(تنظیمات!$B$5:$J$32,MATCH('برنامه فروردین'!F16,تنظیمات!$C$5:$C$32,0),9),"")</f>
        <v/>
      </c>
      <c r="C16" s="73" t="str">
        <f>IFERROR(INDEX(تنظیمات!$B$5:$J$32,MATCH('برنامه فروردین'!F16,تنظیمات!$C$5:$C$32,0),4),"")</f>
        <v/>
      </c>
      <c r="D16" s="76" t="str">
        <f>IFERROR(INDEX(تنظیمات!$B$5:$J$32,MATCH('برنامه فروردین'!F16,تنظیمات!$C$5:$C$32,0),5),"")</f>
        <v/>
      </c>
      <c r="E16" s="77" t="str">
        <f>IFERROR(INDEX(تنظیمات!$B$5:$J$32,MATCH('برنامه فروردین'!F16,تنظیمات!$C$5:$C$32,0),6),"")</f>
        <v/>
      </c>
      <c r="F16" s="73" t="str">
        <f>IFERROR(INDEX(دیتا!$J$2:$K$26,MATCH('برنامه فروردین'!A16,دیتا!$J$2:$J$26,0),2),"")</f>
        <v/>
      </c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7">
        <f t="shared" si="1"/>
        <v>0</v>
      </c>
      <c r="AM16" s="77">
        <f t="shared" si="2"/>
        <v>0</v>
      </c>
      <c r="AN16" s="77">
        <f t="shared" si="3"/>
        <v>0</v>
      </c>
      <c r="AO16" s="77">
        <f t="shared" si="4"/>
        <v>0</v>
      </c>
      <c r="AP16" s="77">
        <f t="shared" si="5"/>
        <v>0</v>
      </c>
      <c r="AQ16" s="79">
        <f t="shared" si="6"/>
        <v>0</v>
      </c>
      <c r="AR16" s="62"/>
    </row>
    <row r="17" spans="1:44" ht="22.5" customHeight="1">
      <c r="A17" s="43">
        <v>13</v>
      </c>
      <c r="B17" s="49" t="str">
        <f>IFERROR(INDEX(تنظیمات!$B$5:$J$32,MATCH('برنامه فروردین'!F17,تنظیمات!$C$5:$C$32,0),9),"")</f>
        <v/>
      </c>
      <c r="C17" s="49" t="str">
        <f>IFERROR(INDEX(تنظیمات!$B$5:$J$32,MATCH('برنامه فروردین'!F17,تنظیمات!$C$5:$C$32,0),4),"")</f>
        <v/>
      </c>
      <c r="D17" s="50" t="str">
        <f>IFERROR(INDEX(تنظیمات!$B$5:$J$32,MATCH('برنامه فروردین'!F17,تنظیمات!$C$5:$C$32,0),5),"")</f>
        <v/>
      </c>
      <c r="E17" s="51" t="str">
        <f>IFERROR(INDEX(تنظیمات!$B$5:$J$32,MATCH('برنامه فروردین'!F17,تنظیمات!$C$5:$C$32,0),6),"")</f>
        <v/>
      </c>
      <c r="F17" s="49" t="str">
        <f>IFERROR(INDEX(دیتا!$J$2:$K$26,MATCH('برنامه فروردین'!A17,دیتا!$J$2:$J$26,0),2),"")</f>
        <v/>
      </c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44">
        <f t="shared" si="1"/>
        <v>0</v>
      </c>
      <c r="AM17" s="44">
        <f t="shared" si="2"/>
        <v>0</v>
      </c>
      <c r="AN17" s="44">
        <f t="shared" si="3"/>
        <v>0</v>
      </c>
      <c r="AO17" s="44">
        <f t="shared" si="4"/>
        <v>0</v>
      </c>
      <c r="AP17" s="44">
        <f t="shared" si="5"/>
        <v>0</v>
      </c>
      <c r="AQ17" s="45">
        <f t="shared" si="6"/>
        <v>0</v>
      </c>
      <c r="AR17" s="62"/>
    </row>
    <row r="18" spans="1:44" ht="22.5" customHeight="1">
      <c r="A18" s="75">
        <v>14</v>
      </c>
      <c r="B18" s="73" t="str">
        <f>IFERROR(INDEX(تنظیمات!$B$5:$J$32,MATCH('برنامه فروردین'!F18,تنظیمات!$C$5:$C$32,0),9),"")</f>
        <v/>
      </c>
      <c r="C18" s="73" t="str">
        <f>IFERROR(INDEX(تنظیمات!$B$5:$J$32,MATCH('برنامه فروردین'!F18,تنظیمات!$C$5:$C$32,0),4),"")</f>
        <v/>
      </c>
      <c r="D18" s="76" t="str">
        <f>IFERROR(INDEX(تنظیمات!$B$5:$J$32,MATCH('برنامه فروردین'!F18,تنظیمات!$C$5:$C$32,0),5),"")</f>
        <v/>
      </c>
      <c r="E18" s="77" t="str">
        <f>IFERROR(INDEX(تنظیمات!$B$5:$J$32,MATCH('برنامه فروردین'!F18,تنظیمات!$C$5:$C$32,0),6),"")</f>
        <v/>
      </c>
      <c r="F18" s="73" t="str">
        <f>IFERROR(INDEX(دیتا!$J$2:$K$26,MATCH('برنامه فروردین'!A18,دیتا!$J$2:$J$26,0),2),"")</f>
        <v/>
      </c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7">
        <f t="shared" si="1"/>
        <v>0</v>
      </c>
      <c r="AM18" s="77">
        <f t="shared" si="2"/>
        <v>0</v>
      </c>
      <c r="AN18" s="77">
        <f t="shared" si="3"/>
        <v>0</v>
      </c>
      <c r="AO18" s="77">
        <f t="shared" si="4"/>
        <v>0</v>
      </c>
      <c r="AP18" s="77">
        <f t="shared" si="5"/>
        <v>0</v>
      </c>
      <c r="AQ18" s="79">
        <f t="shared" si="6"/>
        <v>0</v>
      </c>
      <c r="AR18" s="62"/>
    </row>
    <row r="19" spans="1:44" ht="22.5" customHeight="1">
      <c r="A19" s="43">
        <v>15</v>
      </c>
      <c r="B19" s="49" t="str">
        <f>IFERROR(INDEX(تنظیمات!$B$5:$J$32,MATCH('برنامه فروردین'!F19,تنظیمات!$C$5:$C$32,0),9),"")</f>
        <v/>
      </c>
      <c r="C19" s="49" t="str">
        <f>IFERROR(INDEX(تنظیمات!$B$5:$J$32,MATCH('برنامه فروردین'!F19,تنظیمات!$C$5:$C$32,0),4),"")</f>
        <v/>
      </c>
      <c r="D19" s="50" t="str">
        <f>IFERROR(INDEX(تنظیمات!$B$5:$J$32,MATCH('برنامه فروردین'!F19,تنظیمات!$C$5:$C$32,0),5),"")</f>
        <v/>
      </c>
      <c r="E19" s="51" t="str">
        <f>IFERROR(INDEX(تنظیمات!$B$5:$J$32,MATCH('برنامه فروردین'!F19,تنظیمات!$C$5:$C$32,0),6),"")</f>
        <v/>
      </c>
      <c r="F19" s="49" t="str">
        <f>IFERROR(INDEX(دیتا!$J$2:$K$26,MATCH('برنامه فروردین'!A19,دیتا!$J$2:$J$26,0),2),"")</f>
        <v/>
      </c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44">
        <f t="shared" si="1"/>
        <v>0</v>
      </c>
      <c r="AM19" s="44">
        <f t="shared" si="2"/>
        <v>0</v>
      </c>
      <c r="AN19" s="44">
        <f t="shared" si="3"/>
        <v>0</v>
      </c>
      <c r="AO19" s="44">
        <f t="shared" si="4"/>
        <v>0</v>
      </c>
      <c r="AP19" s="44">
        <f t="shared" si="5"/>
        <v>0</v>
      </c>
      <c r="AQ19" s="45">
        <f t="shared" si="6"/>
        <v>0</v>
      </c>
      <c r="AR19" s="62"/>
    </row>
    <row r="20" spans="1:44" ht="22.5" customHeight="1">
      <c r="A20" s="75">
        <v>16</v>
      </c>
      <c r="B20" s="73" t="str">
        <f>IFERROR(INDEX(تنظیمات!$B$5:$J$32,MATCH('برنامه فروردین'!F20,تنظیمات!$C$5:$C$32,0),9),"")</f>
        <v/>
      </c>
      <c r="C20" s="73" t="str">
        <f>IFERROR(INDEX(تنظیمات!$B$5:$J$32,MATCH('برنامه فروردین'!F20,تنظیمات!$C$5:$C$32,0),4),"")</f>
        <v/>
      </c>
      <c r="D20" s="76" t="str">
        <f>IFERROR(INDEX(تنظیمات!$B$5:$J$32,MATCH('برنامه فروردین'!F20,تنظیمات!$C$5:$C$32,0),5),"")</f>
        <v/>
      </c>
      <c r="E20" s="77" t="str">
        <f>IFERROR(INDEX(تنظیمات!$B$5:$J$32,MATCH('برنامه فروردین'!F20,تنظیمات!$C$5:$C$32,0),6),"")</f>
        <v/>
      </c>
      <c r="F20" s="73" t="str">
        <f>IFERROR(INDEX(دیتا!$J$2:$K$26,MATCH('برنامه فروردین'!A20,دیتا!$J$2:$J$26,0),2),"")</f>
        <v/>
      </c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7">
        <f t="shared" si="1"/>
        <v>0</v>
      </c>
      <c r="AM20" s="77">
        <f t="shared" si="2"/>
        <v>0</v>
      </c>
      <c r="AN20" s="77">
        <f t="shared" si="3"/>
        <v>0</v>
      </c>
      <c r="AO20" s="77">
        <f t="shared" si="4"/>
        <v>0</v>
      </c>
      <c r="AP20" s="77">
        <f t="shared" si="5"/>
        <v>0</v>
      </c>
      <c r="AQ20" s="79">
        <f t="shared" si="6"/>
        <v>0</v>
      </c>
      <c r="AR20" s="62"/>
    </row>
    <row r="21" spans="1:44" ht="22.5" customHeight="1">
      <c r="A21" s="43">
        <v>17</v>
      </c>
      <c r="B21" s="49" t="str">
        <f>IFERROR(INDEX(تنظیمات!$B$5:$J$32,MATCH('برنامه فروردین'!F21,تنظیمات!$C$5:$C$32,0),9),"")</f>
        <v/>
      </c>
      <c r="C21" s="49" t="str">
        <f>IFERROR(INDEX(تنظیمات!$B$5:$J$32,MATCH('برنامه فروردین'!F21,تنظیمات!$C$5:$C$32,0),4),"")</f>
        <v/>
      </c>
      <c r="D21" s="50" t="str">
        <f>IFERROR(INDEX(تنظیمات!$B$5:$J$32,MATCH('برنامه فروردین'!F21,تنظیمات!$C$5:$C$32,0),5),"")</f>
        <v/>
      </c>
      <c r="E21" s="51" t="str">
        <f>IFERROR(INDEX(تنظیمات!$B$5:$J$32,MATCH('برنامه فروردین'!F21,تنظیمات!$C$5:$C$32,0),6),"")</f>
        <v/>
      </c>
      <c r="F21" s="49" t="str">
        <f>IFERROR(INDEX(دیتا!$J$2:$K$26,MATCH('برنامه فروردین'!A21,دیتا!$J$2:$J$26,0),2),"")</f>
        <v/>
      </c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44">
        <f t="shared" si="1"/>
        <v>0</v>
      </c>
      <c r="AM21" s="44">
        <f t="shared" si="2"/>
        <v>0</v>
      </c>
      <c r="AN21" s="44">
        <f t="shared" si="3"/>
        <v>0</v>
      </c>
      <c r="AO21" s="44">
        <f t="shared" si="4"/>
        <v>0</v>
      </c>
      <c r="AP21" s="44">
        <f t="shared" si="5"/>
        <v>0</v>
      </c>
      <c r="AQ21" s="45">
        <f t="shared" si="6"/>
        <v>0</v>
      </c>
      <c r="AR21" s="62"/>
    </row>
    <row r="22" spans="1:44" ht="22.5" customHeight="1">
      <c r="A22" s="75">
        <v>18</v>
      </c>
      <c r="B22" s="73" t="str">
        <f>IFERROR(INDEX(تنظیمات!$B$5:$J$32,MATCH('برنامه فروردین'!F22,تنظیمات!$C$5:$C$32,0),9),"")</f>
        <v/>
      </c>
      <c r="C22" s="73" t="str">
        <f>IFERROR(INDEX(تنظیمات!$B$5:$J$32,MATCH('برنامه فروردین'!F22,تنظیمات!$C$5:$C$32,0),4),"")</f>
        <v/>
      </c>
      <c r="D22" s="76" t="str">
        <f>IFERROR(INDEX(تنظیمات!$B$5:$J$32,MATCH('برنامه فروردین'!F22,تنظیمات!$C$5:$C$32,0),5),"")</f>
        <v/>
      </c>
      <c r="E22" s="77" t="str">
        <f>IFERROR(INDEX(تنظیمات!$B$5:$J$32,MATCH('برنامه فروردین'!F22,تنظیمات!$C$5:$C$32,0),6),"")</f>
        <v/>
      </c>
      <c r="F22" s="73" t="str">
        <f>IFERROR(INDEX(دیتا!$J$2:$K$26,MATCH('برنامه فروردین'!A22,دیتا!$J$2:$J$26,0),2),"")</f>
        <v/>
      </c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7">
        <f t="shared" si="1"/>
        <v>0</v>
      </c>
      <c r="AM22" s="77">
        <f t="shared" si="2"/>
        <v>0</v>
      </c>
      <c r="AN22" s="77">
        <f t="shared" si="3"/>
        <v>0</v>
      </c>
      <c r="AO22" s="77">
        <f t="shared" si="4"/>
        <v>0</v>
      </c>
      <c r="AP22" s="77">
        <f t="shared" si="5"/>
        <v>0</v>
      </c>
      <c r="AQ22" s="79">
        <f t="shared" si="6"/>
        <v>0</v>
      </c>
      <c r="AR22" s="62"/>
    </row>
    <row r="23" spans="1:44" ht="22.5" customHeight="1">
      <c r="A23" s="43">
        <v>19</v>
      </c>
      <c r="B23" s="49" t="str">
        <f>IFERROR(INDEX(تنظیمات!$B$5:$J$32,MATCH('برنامه فروردین'!F23,تنظیمات!$C$5:$C$32,0),9),"")</f>
        <v/>
      </c>
      <c r="C23" s="49" t="str">
        <f>IFERROR(INDEX(تنظیمات!$B$5:$J$32,MATCH('برنامه فروردین'!F23,تنظیمات!$C$5:$C$32,0),4),"")</f>
        <v/>
      </c>
      <c r="D23" s="50" t="str">
        <f>IFERROR(INDEX(تنظیمات!$B$5:$J$32,MATCH('برنامه فروردین'!F23,تنظیمات!$C$5:$C$32,0),5),"")</f>
        <v/>
      </c>
      <c r="E23" s="51" t="str">
        <f>IFERROR(INDEX(تنظیمات!$B$5:$J$32,MATCH('برنامه فروردین'!F23,تنظیمات!$C$5:$C$32,0),6),"")</f>
        <v/>
      </c>
      <c r="F23" s="49" t="str">
        <f>IFERROR(INDEX(دیتا!$J$2:$K$26,MATCH('برنامه فروردین'!A23,دیتا!$J$2:$J$26,0),2),"")</f>
        <v/>
      </c>
      <c r="G23" s="71"/>
      <c r="H23" s="71"/>
      <c r="I23" s="71"/>
      <c r="J23" s="72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44">
        <f t="shared" si="1"/>
        <v>0</v>
      </c>
      <c r="AM23" s="44">
        <f t="shared" si="2"/>
        <v>0</v>
      </c>
      <c r="AN23" s="44">
        <f t="shared" si="3"/>
        <v>0</v>
      </c>
      <c r="AO23" s="44">
        <f t="shared" si="4"/>
        <v>0</v>
      </c>
      <c r="AP23" s="44">
        <f t="shared" si="5"/>
        <v>0</v>
      </c>
      <c r="AQ23" s="45">
        <f t="shared" si="6"/>
        <v>0</v>
      </c>
      <c r="AR23" s="62"/>
    </row>
    <row r="24" spans="1:44" ht="22.5" customHeight="1">
      <c r="A24" s="75">
        <v>20</v>
      </c>
      <c r="B24" s="73" t="str">
        <f>IFERROR(INDEX(تنظیمات!$B$5:$J$32,MATCH('برنامه فروردین'!F24,تنظیمات!$C$5:$C$32,0),9),"")</f>
        <v/>
      </c>
      <c r="C24" s="73" t="str">
        <f>IFERROR(INDEX(تنظیمات!$B$5:$J$32,MATCH('برنامه فروردین'!F24,تنظیمات!$C$5:$C$32,0),4),"")</f>
        <v/>
      </c>
      <c r="D24" s="76" t="str">
        <f>IFERROR(INDEX(تنظیمات!$B$5:$J$32,MATCH('برنامه فروردین'!F24,تنظیمات!$C$5:$C$32,0),5),"")</f>
        <v/>
      </c>
      <c r="E24" s="77" t="str">
        <f>IFERROR(INDEX(تنظیمات!$B$5:$J$32,MATCH('برنامه فروردین'!F24,تنظیمات!$C$5:$C$32,0),6),"")</f>
        <v/>
      </c>
      <c r="F24" s="73" t="str">
        <f>IFERROR(INDEX(دیتا!$J$2:$K$26,MATCH('برنامه فروردین'!A24,دیتا!$J$2:$J$26,0),2),"")</f>
        <v/>
      </c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7">
        <f t="shared" si="1"/>
        <v>0</v>
      </c>
      <c r="AM24" s="77">
        <f t="shared" si="2"/>
        <v>0</v>
      </c>
      <c r="AN24" s="77">
        <f t="shared" si="3"/>
        <v>0</v>
      </c>
      <c r="AO24" s="77">
        <f t="shared" si="4"/>
        <v>0</v>
      </c>
      <c r="AP24" s="77">
        <f t="shared" si="5"/>
        <v>0</v>
      </c>
      <c r="AQ24" s="79">
        <f t="shared" si="6"/>
        <v>0</v>
      </c>
      <c r="AR24" s="62"/>
    </row>
    <row r="25" spans="1:44" ht="22.5" customHeight="1">
      <c r="A25" s="43">
        <v>21</v>
      </c>
      <c r="B25" s="49" t="str">
        <f>IFERROR(INDEX(تنظیمات!$B$5:$J$32,MATCH('برنامه فروردین'!F25,تنظیمات!$C$5:$C$32,0),9),"")</f>
        <v/>
      </c>
      <c r="C25" s="49" t="str">
        <f>IFERROR(INDEX(تنظیمات!$B$5:$J$32,MATCH('برنامه فروردین'!F25,تنظیمات!$C$5:$C$32,0),4),"")</f>
        <v/>
      </c>
      <c r="D25" s="50" t="str">
        <f>IFERROR(INDEX(تنظیمات!$B$5:$J$32,MATCH('برنامه فروردین'!F25,تنظیمات!$C$5:$C$32,0),5),"")</f>
        <v/>
      </c>
      <c r="E25" s="51" t="str">
        <f>IFERROR(INDEX(تنظیمات!$B$5:$J$32,MATCH('برنامه فروردین'!F25,تنظیمات!$C$5:$C$32,0),6),"")</f>
        <v/>
      </c>
      <c r="F25" s="49" t="str">
        <f>IFERROR(INDEX(دیتا!$J$2:$K$26,MATCH('برنامه فروردین'!A25,دیتا!$J$2:$J$26,0),2),"")</f>
        <v/>
      </c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44">
        <f t="shared" si="1"/>
        <v>0</v>
      </c>
      <c r="AM25" s="44">
        <f t="shared" si="2"/>
        <v>0</v>
      </c>
      <c r="AN25" s="44">
        <f t="shared" si="3"/>
        <v>0</v>
      </c>
      <c r="AO25" s="44">
        <f t="shared" si="4"/>
        <v>0</v>
      </c>
      <c r="AP25" s="44">
        <f t="shared" si="5"/>
        <v>0</v>
      </c>
      <c r="AQ25" s="45">
        <f t="shared" si="6"/>
        <v>0</v>
      </c>
      <c r="AR25" s="62"/>
    </row>
    <row r="26" spans="1:44" ht="22.5" customHeight="1">
      <c r="A26" s="75">
        <v>22</v>
      </c>
      <c r="B26" s="73" t="str">
        <f>IFERROR(INDEX(تنظیمات!$B$5:$J$32,MATCH('برنامه فروردین'!F26,تنظیمات!$C$5:$C$32,0),9),"")</f>
        <v/>
      </c>
      <c r="C26" s="73" t="str">
        <f>IFERROR(INDEX(تنظیمات!$B$5:$J$32,MATCH('برنامه فروردین'!F26,تنظیمات!$C$5:$C$32,0),4),"")</f>
        <v/>
      </c>
      <c r="D26" s="76" t="str">
        <f>IFERROR(INDEX(تنظیمات!$B$5:$J$32,MATCH('برنامه فروردین'!F26,تنظیمات!$C$5:$C$32,0),5),"")</f>
        <v/>
      </c>
      <c r="E26" s="77" t="str">
        <f>IFERROR(INDEX(تنظیمات!$B$5:$J$32,MATCH('برنامه فروردین'!F26,تنظیمات!$C$5:$C$32,0),6),"")</f>
        <v/>
      </c>
      <c r="F26" s="73" t="str">
        <f>IFERROR(INDEX(دیتا!$J$2:$K$26,MATCH('برنامه فروردین'!A26,دیتا!$J$2:$J$26,0),2),"")</f>
        <v/>
      </c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7">
        <f t="shared" si="1"/>
        <v>0</v>
      </c>
      <c r="AM26" s="77">
        <f t="shared" si="2"/>
        <v>0</v>
      </c>
      <c r="AN26" s="77">
        <f t="shared" si="3"/>
        <v>0</v>
      </c>
      <c r="AO26" s="77">
        <f t="shared" si="4"/>
        <v>0</v>
      </c>
      <c r="AP26" s="77">
        <f t="shared" si="5"/>
        <v>0</v>
      </c>
      <c r="AQ26" s="79">
        <f t="shared" si="6"/>
        <v>0</v>
      </c>
      <c r="AR26" s="62"/>
    </row>
    <row r="27" spans="1:44" ht="22.5" customHeight="1">
      <c r="A27" s="43">
        <v>23</v>
      </c>
      <c r="B27" s="49" t="str">
        <f>IFERROR(INDEX(تنظیمات!$B$5:$J$32,MATCH('برنامه فروردین'!F27,تنظیمات!$C$5:$C$32,0),9),"")</f>
        <v/>
      </c>
      <c r="C27" s="49" t="str">
        <f>IFERROR(INDEX(تنظیمات!$B$5:$J$32,MATCH('برنامه فروردین'!F27,تنظیمات!$C$5:$C$32,0),4),"")</f>
        <v/>
      </c>
      <c r="D27" s="50" t="str">
        <f>IFERROR(INDEX(تنظیمات!$B$5:$J$32,MATCH('برنامه فروردین'!F27,تنظیمات!$C$5:$C$32,0),5),"")</f>
        <v/>
      </c>
      <c r="E27" s="51" t="str">
        <f>IFERROR(INDEX(تنظیمات!$B$5:$J$32,MATCH('برنامه فروردین'!F27,تنظیمات!$C$5:$C$32,0),6),"")</f>
        <v/>
      </c>
      <c r="F27" s="49" t="str">
        <f>IFERROR(INDEX(دیتا!$J$2:$K$26,MATCH('برنامه فروردین'!A27,دیتا!$J$2:$J$26,0),2),"")</f>
        <v/>
      </c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44">
        <f t="shared" si="1"/>
        <v>0</v>
      </c>
      <c r="AM27" s="44">
        <f t="shared" si="2"/>
        <v>0</v>
      </c>
      <c r="AN27" s="44">
        <f t="shared" si="3"/>
        <v>0</v>
      </c>
      <c r="AO27" s="44">
        <f t="shared" si="4"/>
        <v>0</v>
      </c>
      <c r="AP27" s="44">
        <f t="shared" si="5"/>
        <v>0</v>
      </c>
      <c r="AQ27" s="45">
        <f t="shared" si="6"/>
        <v>0</v>
      </c>
      <c r="AR27" s="62"/>
    </row>
    <row r="28" spans="1:44" ht="22.5" customHeight="1">
      <c r="A28" s="75">
        <v>24</v>
      </c>
      <c r="B28" s="73" t="str">
        <f>IFERROR(INDEX(تنظیمات!$B$5:$J$32,MATCH('برنامه فروردین'!F28,تنظیمات!$C$5:$C$32,0),9),"")</f>
        <v/>
      </c>
      <c r="C28" s="73" t="str">
        <f>IFERROR(INDEX(تنظیمات!$B$5:$J$32,MATCH('برنامه فروردین'!F28,تنظیمات!$C$5:$C$32,0),4),"")</f>
        <v/>
      </c>
      <c r="D28" s="76" t="str">
        <f>IFERROR(INDEX(تنظیمات!$B$5:$J$32,MATCH('برنامه فروردین'!F28,تنظیمات!$C$5:$C$32,0),5),"")</f>
        <v/>
      </c>
      <c r="E28" s="77" t="str">
        <f>IFERROR(INDEX(تنظیمات!$B$5:$J$32,MATCH('برنامه فروردین'!F28,تنظیمات!$C$5:$C$32,0),6),"")</f>
        <v/>
      </c>
      <c r="F28" s="73" t="str">
        <f>IFERROR(INDEX(دیتا!$J$2:$K$26,MATCH('برنامه فروردین'!A28,دیتا!$J$2:$J$26,0),2),"")</f>
        <v/>
      </c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7">
        <f t="shared" si="1"/>
        <v>0</v>
      </c>
      <c r="AM28" s="77">
        <f t="shared" si="2"/>
        <v>0</v>
      </c>
      <c r="AN28" s="77">
        <f t="shared" si="3"/>
        <v>0</v>
      </c>
      <c r="AO28" s="77">
        <f t="shared" si="4"/>
        <v>0</v>
      </c>
      <c r="AP28" s="77">
        <f t="shared" si="5"/>
        <v>0</v>
      </c>
      <c r="AQ28" s="79">
        <f t="shared" si="6"/>
        <v>0</v>
      </c>
      <c r="AR28" s="62"/>
    </row>
    <row r="29" spans="1:44" ht="22.5" customHeight="1" thickBot="1">
      <c r="A29" s="91">
        <v>25</v>
      </c>
      <c r="B29" s="92" t="str">
        <f>IFERROR(INDEX(تنظیمات!$B$5:$J$32,MATCH('برنامه فروردین'!F29,تنظیمات!$C$5:$C$32,0),9),"")</f>
        <v/>
      </c>
      <c r="C29" s="92" t="str">
        <f>IFERROR(INDEX(تنظیمات!$B$5:$J$32,MATCH('برنامه فروردین'!F29,تنظیمات!$C$5:$C$32,0),4),"")</f>
        <v/>
      </c>
      <c r="D29" s="93" t="str">
        <f>IFERROR(INDEX(تنظیمات!$B$5:$J$32,MATCH('برنامه فروردین'!F29,تنظیمات!$C$5:$C$32,0),5),"")</f>
        <v/>
      </c>
      <c r="E29" s="94" t="str">
        <f>IFERROR(INDEX(تنظیمات!$B$5:$J$32,MATCH('برنامه فروردین'!F29,تنظیمات!$C$5:$C$32,0),6),"")</f>
        <v/>
      </c>
      <c r="F29" s="92" t="str">
        <f>IFERROR(INDEX(دیتا!$J$2:$K$26,MATCH('برنامه فروردین'!A29,دیتا!$J$2:$J$26,0),2),"")</f>
        <v/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6">
        <f t="shared" si="1"/>
        <v>0</v>
      </c>
      <c r="AM29" s="96">
        <f t="shared" si="2"/>
        <v>0</v>
      </c>
      <c r="AN29" s="96">
        <f t="shared" si="3"/>
        <v>0</v>
      </c>
      <c r="AO29" s="96">
        <f t="shared" si="4"/>
        <v>0</v>
      </c>
      <c r="AP29" s="96">
        <f t="shared" si="5"/>
        <v>0</v>
      </c>
      <c r="AQ29" s="97">
        <f t="shared" si="6"/>
        <v>0</v>
      </c>
      <c r="AR29" s="62"/>
    </row>
    <row r="30" spans="1:44" ht="14.1" customHeight="1">
      <c r="A30" s="188" t="s">
        <v>63</v>
      </c>
      <c r="B30" s="189"/>
      <c r="C30" s="202" t="s">
        <v>50</v>
      </c>
      <c r="D30" s="203"/>
      <c r="E30" s="194">
        <v>2</v>
      </c>
      <c r="F30" s="214" t="s">
        <v>171</v>
      </c>
      <c r="G30" s="200">
        <f t="shared" ref="G30:AK30" si="7">COUNTIF(G5:G29,"=M")+COUNTIF(G5:G29,"=ME")+COUNTIF(G5:G29,"=MN")</f>
        <v>1</v>
      </c>
      <c r="H30" s="200">
        <f t="shared" si="7"/>
        <v>1</v>
      </c>
      <c r="I30" s="200">
        <f t="shared" si="7"/>
        <v>1</v>
      </c>
      <c r="J30" s="200">
        <f t="shared" si="7"/>
        <v>1</v>
      </c>
      <c r="K30" s="200">
        <f t="shared" si="7"/>
        <v>1</v>
      </c>
      <c r="L30" s="200">
        <f t="shared" si="7"/>
        <v>1</v>
      </c>
      <c r="M30" s="200">
        <f t="shared" si="7"/>
        <v>1</v>
      </c>
      <c r="N30" s="200">
        <f t="shared" si="7"/>
        <v>0</v>
      </c>
      <c r="O30" s="200">
        <f t="shared" si="7"/>
        <v>1</v>
      </c>
      <c r="P30" s="200">
        <f t="shared" si="7"/>
        <v>1</v>
      </c>
      <c r="Q30" s="200">
        <f t="shared" si="7"/>
        <v>1</v>
      </c>
      <c r="R30" s="200">
        <f t="shared" si="7"/>
        <v>1</v>
      </c>
      <c r="S30" s="200">
        <f t="shared" si="7"/>
        <v>1</v>
      </c>
      <c r="T30" s="200">
        <f t="shared" si="7"/>
        <v>1</v>
      </c>
      <c r="U30" s="200">
        <f t="shared" si="7"/>
        <v>1</v>
      </c>
      <c r="V30" s="200">
        <f t="shared" si="7"/>
        <v>1</v>
      </c>
      <c r="W30" s="200">
        <f t="shared" si="7"/>
        <v>1</v>
      </c>
      <c r="X30" s="200">
        <f t="shared" si="7"/>
        <v>1</v>
      </c>
      <c r="Y30" s="200">
        <f t="shared" si="7"/>
        <v>1</v>
      </c>
      <c r="Z30" s="200">
        <f t="shared" si="7"/>
        <v>1</v>
      </c>
      <c r="AA30" s="200">
        <f t="shared" si="7"/>
        <v>1</v>
      </c>
      <c r="AB30" s="200">
        <f t="shared" si="7"/>
        <v>1</v>
      </c>
      <c r="AC30" s="200">
        <f t="shared" si="7"/>
        <v>1</v>
      </c>
      <c r="AD30" s="200">
        <f t="shared" si="7"/>
        <v>1</v>
      </c>
      <c r="AE30" s="200">
        <f t="shared" si="7"/>
        <v>1</v>
      </c>
      <c r="AF30" s="200">
        <f t="shared" si="7"/>
        <v>1</v>
      </c>
      <c r="AG30" s="200">
        <f t="shared" si="7"/>
        <v>1</v>
      </c>
      <c r="AH30" s="200">
        <f t="shared" si="7"/>
        <v>1</v>
      </c>
      <c r="AI30" s="200">
        <f t="shared" si="7"/>
        <v>1</v>
      </c>
      <c r="AJ30" s="200">
        <f t="shared" si="7"/>
        <v>1</v>
      </c>
      <c r="AK30" s="200">
        <f t="shared" si="7"/>
        <v>0</v>
      </c>
      <c r="AL30" s="238" t="s">
        <v>166</v>
      </c>
      <c r="AM30" s="239"/>
      <c r="AN30" s="239"/>
      <c r="AO30" s="239"/>
      <c r="AP30" s="239"/>
      <c r="AQ30" s="240"/>
      <c r="AR30" s="62"/>
    </row>
    <row r="31" spans="1:44" ht="14.1" customHeight="1">
      <c r="A31" s="190"/>
      <c r="B31" s="191"/>
      <c r="C31" s="204"/>
      <c r="D31" s="205"/>
      <c r="E31" s="195"/>
      <c r="F31" s="215"/>
      <c r="G31" s="201"/>
      <c r="H31" s="201"/>
      <c r="I31" s="201"/>
      <c r="J31" s="201"/>
      <c r="K31" s="201"/>
      <c r="L31" s="201"/>
      <c r="M31" s="201"/>
      <c r="N31" s="201"/>
      <c r="O31" s="201"/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201"/>
      <c r="AK31" s="201"/>
      <c r="AL31" s="241"/>
      <c r="AM31" s="241"/>
      <c r="AN31" s="241"/>
      <c r="AO31" s="241"/>
      <c r="AP31" s="241"/>
      <c r="AQ31" s="242"/>
      <c r="AR31" s="62"/>
    </row>
    <row r="32" spans="1:44" ht="14.1" customHeight="1">
      <c r="A32" s="190"/>
      <c r="B32" s="191"/>
      <c r="C32" s="206" t="s">
        <v>62</v>
      </c>
      <c r="D32" s="207"/>
      <c r="E32" s="196">
        <v>2</v>
      </c>
      <c r="F32" s="218" t="s">
        <v>172</v>
      </c>
      <c r="G32" s="220">
        <f t="shared" ref="G32:AK32" si="8">COUNTIF(G5:G29,"=E")+COUNTIF(G5:G29,"=ME")+COUNTIF(G5:G29,"=en")</f>
        <v>1</v>
      </c>
      <c r="H32" s="221">
        <f t="shared" si="8"/>
        <v>1</v>
      </c>
      <c r="I32" s="221">
        <f t="shared" si="8"/>
        <v>1</v>
      </c>
      <c r="J32" s="221">
        <f t="shared" si="8"/>
        <v>1</v>
      </c>
      <c r="K32" s="221">
        <f t="shared" si="8"/>
        <v>1</v>
      </c>
      <c r="L32" s="221">
        <f t="shared" si="8"/>
        <v>2</v>
      </c>
      <c r="M32" s="221">
        <f t="shared" si="8"/>
        <v>1</v>
      </c>
      <c r="N32" s="221">
        <f t="shared" si="8"/>
        <v>2</v>
      </c>
      <c r="O32" s="221">
        <f t="shared" si="8"/>
        <v>1</v>
      </c>
      <c r="P32" s="221">
        <f t="shared" si="8"/>
        <v>1</v>
      </c>
      <c r="Q32" s="221">
        <f t="shared" si="8"/>
        <v>1</v>
      </c>
      <c r="R32" s="221">
        <f t="shared" si="8"/>
        <v>1</v>
      </c>
      <c r="S32" s="221">
        <f t="shared" si="8"/>
        <v>1</v>
      </c>
      <c r="T32" s="221">
        <f t="shared" si="8"/>
        <v>1</v>
      </c>
      <c r="U32" s="221">
        <f t="shared" si="8"/>
        <v>1</v>
      </c>
      <c r="V32" s="221">
        <f t="shared" si="8"/>
        <v>1</v>
      </c>
      <c r="W32" s="221">
        <f t="shared" si="8"/>
        <v>1</v>
      </c>
      <c r="X32" s="221">
        <f t="shared" si="8"/>
        <v>1</v>
      </c>
      <c r="Y32" s="221">
        <f t="shared" si="8"/>
        <v>1</v>
      </c>
      <c r="Z32" s="221">
        <f t="shared" si="8"/>
        <v>1</v>
      </c>
      <c r="AA32" s="221">
        <f t="shared" si="8"/>
        <v>1</v>
      </c>
      <c r="AB32" s="221">
        <f t="shared" si="8"/>
        <v>1</v>
      </c>
      <c r="AC32" s="221">
        <f t="shared" si="8"/>
        <v>1</v>
      </c>
      <c r="AD32" s="221">
        <f t="shared" si="8"/>
        <v>1</v>
      </c>
      <c r="AE32" s="221">
        <f t="shared" si="8"/>
        <v>1</v>
      </c>
      <c r="AF32" s="221">
        <f t="shared" si="8"/>
        <v>1</v>
      </c>
      <c r="AG32" s="221">
        <f t="shared" si="8"/>
        <v>1</v>
      </c>
      <c r="AH32" s="221">
        <f t="shared" si="8"/>
        <v>1</v>
      </c>
      <c r="AI32" s="221">
        <f t="shared" si="8"/>
        <v>1</v>
      </c>
      <c r="AJ32" s="221">
        <f t="shared" si="8"/>
        <v>1</v>
      </c>
      <c r="AK32" s="221">
        <f t="shared" si="8"/>
        <v>0</v>
      </c>
      <c r="AL32" s="241"/>
      <c r="AM32" s="241"/>
      <c r="AN32" s="241"/>
      <c r="AO32" s="241"/>
      <c r="AP32" s="241"/>
      <c r="AQ32" s="242"/>
      <c r="AR32" s="62"/>
    </row>
    <row r="33" spans="1:44" ht="14.1" customHeight="1">
      <c r="A33" s="190"/>
      <c r="B33" s="191"/>
      <c r="C33" s="208"/>
      <c r="D33" s="209"/>
      <c r="E33" s="197"/>
      <c r="F33" s="219"/>
      <c r="G33" s="220"/>
      <c r="H33" s="201"/>
      <c r="I33" s="201"/>
      <c r="J33" s="201"/>
      <c r="K33" s="201"/>
      <c r="L33" s="201"/>
      <c r="M33" s="201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1"/>
      <c r="AK33" s="201"/>
      <c r="AL33" s="241"/>
      <c r="AM33" s="241"/>
      <c r="AN33" s="241"/>
      <c r="AO33" s="241"/>
      <c r="AP33" s="241"/>
      <c r="AQ33" s="242"/>
      <c r="AR33" s="62"/>
    </row>
    <row r="34" spans="1:44" ht="14.1" customHeight="1">
      <c r="A34" s="190"/>
      <c r="B34" s="191"/>
      <c r="C34" s="210" t="s">
        <v>53</v>
      </c>
      <c r="D34" s="211"/>
      <c r="E34" s="198">
        <v>2</v>
      </c>
      <c r="F34" s="216" t="s">
        <v>173</v>
      </c>
      <c r="G34" s="221">
        <f t="shared" ref="G34:AK34" si="9">COUNTIF(G5:G29,"=N")+COUNTIF(G5:G29,"=MN")+COUNTIF(G5:G29,"=en")</f>
        <v>1</v>
      </c>
      <c r="H34" s="221">
        <f t="shared" si="9"/>
        <v>1</v>
      </c>
      <c r="I34" s="221">
        <f t="shared" si="9"/>
        <v>1</v>
      </c>
      <c r="J34" s="221">
        <f t="shared" si="9"/>
        <v>1</v>
      </c>
      <c r="K34" s="221">
        <f t="shared" si="9"/>
        <v>1</v>
      </c>
      <c r="L34" s="221">
        <f t="shared" si="9"/>
        <v>1</v>
      </c>
      <c r="M34" s="221">
        <f t="shared" si="9"/>
        <v>1</v>
      </c>
      <c r="N34" s="221">
        <f t="shared" si="9"/>
        <v>2</v>
      </c>
      <c r="O34" s="221">
        <f t="shared" si="9"/>
        <v>1</v>
      </c>
      <c r="P34" s="221">
        <f t="shared" si="9"/>
        <v>1</v>
      </c>
      <c r="Q34" s="221">
        <f t="shared" si="9"/>
        <v>1</v>
      </c>
      <c r="R34" s="221">
        <f t="shared" si="9"/>
        <v>1</v>
      </c>
      <c r="S34" s="221">
        <f t="shared" si="9"/>
        <v>1</v>
      </c>
      <c r="T34" s="221">
        <f t="shared" si="9"/>
        <v>1</v>
      </c>
      <c r="U34" s="221">
        <f t="shared" si="9"/>
        <v>1</v>
      </c>
      <c r="V34" s="221">
        <f t="shared" si="9"/>
        <v>1</v>
      </c>
      <c r="W34" s="221">
        <f t="shared" si="9"/>
        <v>1</v>
      </c>
      <c r="X34" s="221">
        <f t="shared" si="9"/>
        <v>1</v>
      </c>
      <c r="Y34" s="221">
        <f t="shared" si="9"/>
        <v>1</v>
      </c>
      <c r="Z34" s="221">
        <f t="shared" si="9"/>
        <v>1</v>
      </c>
      <c r="AA34" s="221">
        <f t="shared" si="9"/>
        <v>1</v>
      </c>
      <c r="AB34" s="221">
        <f t="shared" si="9"/>
        <v>1</v>
      </c>
      <c r="AC34" s="221">
        <f t="shared" si="9"/>
        <v>1</v>
      </c>
      <c r="AD34" s="221">
        <f t="shared" si="9"/>
        <v>1</v>
      </c>
      <c r="AE34" s="221">
        <f t="shared" si="9"/>
        <v>1</v>
      </c>
      <c r="AF34" s="221">
        <f t="shared" si="9"/>
        <v>1</v>
      </c>
      <c r="AG34" s="221">
        <f t="shared" si="9"/>
        <v>1</v>
      </c>
      <c r="AH34" s="221">
        <f t="shared" si="9"/>
        <v>1</v>
      </c>
      <c r="AI34" s="221">
        <f t="shared" si="9"/>
        <v>1</v>
      </c>
      <c r="AJ34" s="221">
        <f t="shared" si="9"/>
        <v>1</v>
      </c>
      <c r="AK34" s="221">
        <f t="shared" si="9"/>
        <v>0</v>
      </c>
      <c r="AL34" s="241"/>
      <c r="AM34" s="241"/>
      <c r="AN34" s="241"/>
      <c r="AO34" s="241"/>
      <c r="AP34" s="241"/>
      <c r="AQ34" s="242"/>
      <c r="AR34" s="62"/>
    </row>
    <row r="35" spans="1:44" ht="14.1" customHeight="1" thickBot="1">
      <c r="A35" s="192"/>
      <c r="B35" s="193"/>
      <c r="C35" s="212"/>
      <c r="D35" s="213"/>
      <c r="E35" s="199"/>
      <c r="F35" s="217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  <c r="AJ35" s="222"/>
      <c r="AK35" s="222"/>
      <c r="AL35" s="243"/>
      <c r="AM35" s="243"/>
      <c r="AN35" s="243"/>
      <c r="AO35" s="243"/>
      <c r="AP35" s="243"/>
      <c r="AQ35" s="244"/>
      <c r="AR35" s="62"/>
    </row>
    <row r="36" spans="1:44" ht="24" customHeight="1">
      <c r="A36" s="62"/>
      <c r="B36" s="62"/>
      <c r="C36" s="186" t="s">
        <v>182</v>
      </c>
      <c r="D36" s="186"/>
      <c r="E36" s="186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186" t="s">
        <v>183</v>
      </c>
      <c r="AB36" s="186"/>
      <c r="AC36" s="186"/>
      <c r="AD36" s="186"/>
      <c r="AE36" s="186"/>
      <c r="AF36" s="186"/>
      <c r="AG36" s="186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</row>
    <row r="37" spans="1:44" ht="24" customHeight="1">
      <c r="A37" s="62"/>
      <c r="B37" s="62"/>
      <c r="C37" s="187">
        <f>تنظیمات!O19</f>
        <v>0</v>
      </c>
      <c r="D37" s="187"/>
      <c r="E37" s="187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187">
        <f>تنظیمات!O15</f>
        <v>0</v>
      </c>
      <c r="AB37" s="187"/>
      <c r="AC37" s="187"/>
      <c r="AD37" s="187"/>
      <c r="AE37" s="187"/>
      <c r="AF37" s="187"/>
      <c r="AG37" s="187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</row>
    <row r="38" spans="1:44" ht="24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</row>
    <row r="39" spans="1:44" ht="24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</row>
    <row r="40" spans="1:44" ht="24" customHeight="1"/>
    <row r="41" spans="1:44" ht="24" customHeight="1"/>
    <row r="42" spans="1:44" ht="24" customHeight="1"/>
    <row r="43" spans="1:44" ht="24" customHeight="1"/>
    <row r="44" spans="1:44" ht="35.1" customHeight="1"/>
    <row r="45" spans="1:44" ht="35.1" customHeight="1"/>
    <row r="46" spans="1:44" ht="24" customHeight="1"/>
    <row r="47" spans="1:44" ht="24" customHeight="1"/>
    <row r="48" spans="1:44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</sheetData>
  <sheetProtection algorithmName="SHA-512" hashValue="Zfe1KtIgeUoG5gBAn8i1zOs7O1NCG5baBMoQU6dS2Jd/otWfSrLF2GV/IpwjmtPKEUbKpbzQlz5g8CXxreTb7Q==" saltValue="XHpFJ2wGEPoDH/CF8NGXgQ==" spinCount="100000" sheet="1" formatCells="0" formatColumns="0" formatRows="0" insertColumns="0" insertRows="0" insertHyperlinks="0" deleteColumns="0" deleteRows="0" sort="0" autoFilter="0" pivotTables="0"/>
  <mergeCells count="121">
    <mergeCell ref="AH32:AH33"/>
    <mergeCell ref="O34:O35"/>
    <mergeCell ref="A2:A4"/>
    <mergeCell ref="AD30:AD31"/>
    <mergeCell ref="X34:X35"/>
    <mergeCell ref="V32:V33"/>
    <mergeCell ref="AK32:AK33"/>
    <mergeCell ref="AE32:AE33"/>
    <mergeCell ref="A1:N1"/>
    <mergeCell ref="AE34:AE35"/>
    <mergeCell ref="AF34:AF35"/>
    <mergeCell ref="AG34:AG35"/>
    <mergeCell ref="AH34:AH35"/>
    <mergeCell ref="Y34:Y35"/>
    <mergeCell ref="Z34:Z35"/>
    <mergeCell ref="AA34:AA35"/>
    <mergeCell ref="AB34:AB35"/>
    <mergeCell ref="O32:O33"/>
    <mergeCell ref="P34:P35"/>
    <mergeCell ref="Q34:Q35"/>
    <mergeCell ref="R34:R35"/>
    <mergeCell ref="S34:S35"/>
    <mergeCell ref="U32:U33"/>
    <mergeCell ref="R32:R33"/>
    <mergeCell ref="AC34:AC35"/>
    <mergeCell ref="AD34:AD35"/>
    <mergeCell ref="AF32:AF33"/>
    <mergeCell ref="AG32:AG33"/>
    <mergeCell ref="S30:S31"/>
    <mergeCell ref="T30:T31"/>
    <mergeCell ref="U30:U31"/>
    <mergeCell ref="V30:V31"/>
    <mergeCell ref="W30:W31"/>
    <mergeCell ref="T34:T35"/>
    <mergeCell ref="U34:U35"/>
    <mergeCell ref="V34:V35"/>
    <mergeCell ref="W34:W35"/>
    <mergeCell ref="AI32:AI33"/>
    <mergeCell ref="AM1:AQ1"/>
    <mergeCell ref="O30:O31"/>
    <mergeCell ref="P30:P31"/>
    <mergeCell ref="Y1:AH1"/>
    <mergeCell ref="AL2:AQ3"/>
    <mergeCell ref="Q30:Q31"/>
    <mergeCell ref="R30:R31"/>
    <mergeCell ref="O1:R1"/>
    <mergeCell ref="W32:W33"/>
    <mergeCell ref="X32:X33"/>
    <mergeCell ref="V1:X1"/>
    <mergeCell ref="S1:U1"/>
    <mergeCell ref="AE30:AE31"/>
    <mergeCell ref="AL30:AQ35"/>
    <mergeCell ref="AI34:AI35"/>
    <mergeCell ref="AJ34:AJ35"/>
    <mergeCell ref="AK34:AK35"/>
    <mergeCell ref="Y32:Y33"/>
    <mergeCell ref="P32:P33"/>
    <mergeCell ref="Q32:Q33"/>
    <mergeCell ref="S32:S33"/>
    <mergeCell ref="T32:T33"/>
    <mergeCell ref="AK30:AK31"/>
    <mergeCell ref="D2:E2"/>
    <mergeCell ref="C2:C4"/>
    <mergeCell ref="B2:B4"/>
    <mergeCell ref="D3:D4"/>
    <mergeCell ref="E3:E4"/>
    <mergeCell ref="X30:X31"/>
    <mergeCell ref="Y30:Y31"/>
    <mergeCell ref="Z30:Z31"/>
    <mergeCell ref="AJ32:AJ33"/>
    <mergeCell ref="Z32:Z33"/>
    <mergeCell ref="AA32:AA33"/>
    <mergeCell ref="AB32:AB33"/>
    <mergeCell ref="AC32:AC33"/>
    <mergeCell ref="AF30:AF31"/>
    <mergeCell ref="AG30:AG31"/>
    <mergeCell ref="AH30:AH31"/>
    <mergeCell ref="AI30:AI31"/>
    <mergeCell ref="AJ30:AJ31"/>
    <mergeCell ref="AA30:AA31"/>
    <mergeCell ref="AB30:AB31"/>
    <mergeCell ref="AC30:AC31"/>
    <mergeCell ref="AD32:AD33"/>
    <mergeCell ref="I32:I33"/>
    <mergeCell ref="J32:J33"/>
    <mergeCell ref="G34:G35"/>
    <mergeCell ref="H34:H35"/>
    <mergeCell ref="I34:I35"/>
    <mergeCell ref="J34:J35"/>
    <mergeCell ref="K34:K35"/>
    <mergeCell ref="L34:L35"/>
    <mergeCell ref="M34:M35"/>
    <mergeCell ref="N34:N35"/>
    <mergeCell ref="K32:K33"/>
    <mergeCell ref="L32:L33"/>
    <mergeCell ref="M32:M33"/>
    <mergeCell ref="N32:N33"/>
    <mergeCell ref="C36:E36"/>
    <mergeCell ref="AA36:AG36"/>
    <mergeCell ref="AA37:AG37"/>
    <mergeCell ref="C37:E37"/>
    <mergeCell ref="A30:B35"/>
    <mergeCell ref="E30:E31"/>
    <mergeCell ref="E32:E33"/>
    <mergeCell ref="E34:E35"/>
    <mergeCell ref="G30:G31"/>
    <mergeCell ref="H30:H31"/>
    <mergeCell ref="I30:I31"/>
    <mergeCell ref="J30:J31"/>
    <mergeCell ref="K30:K31"/>
    <mergeCell ref="L30:L31"/>
    <mergeCell ref="M30:M31"/>
    <mergeCell ref="N30:N31"/>
    <mergeCell ref="C30:D31"/>
    <mergeCell ref="C32:D33"/>
    <mergeCell ref="C34:D35"/>
    <mergeCell ref="F30:F31"/>
    <mergeCell ref="F34:F35"/>
    <mergeCell ref="F32:F33"/>
    <mergeCell ref="G32:G33"/>
    <mergeCell ref="H32:H33"/>
  </mergeCells>
  <conditionalFormatting sqref="A5:AK29">
    <cfRule type="expression" dxfId="43" priority="42" stopIfTrue="1">
      <formula>MOD(ROW(),2)</formula>
    </cfRule>
  </conditionalFormatting>
  <conditionalFormatting sqref="G30:AK31">
    <cfRule type="cellIs" dxfId="40" priority="45" operator="notEqual">
      <formula>$E$30</formula>
    </cfRule>
  </conditionalFormatting>
  <conditionalFormatting sqref="G32:AK33">
    <cfRule type="cellIs" dxfId="39" priority="44" operator="notEqual">
      <formula>$E$32</formula>
    </cfRule>
  </conditionalFormatting>
  <conditionalFormatting sqref="G34:AK35">
    <cfRule type="cellIs" dxfId="38" priority="43" operator="notEqual">
      <formula>$E$34</formula>
    </cfRule>
  </conditionalFormatting>
  <conditionalFormatting sqref="H2:H29">
    <cfRule type="expression" dxfId="37" priority="40">
      <formula>$H$3&lt;&gt;""</formula>
    </cfRule>
  </conditionalFormatting>
  <conditionalFormatting sqref="H5:AJ5 G2 G4:G29 H6:H8">
    <cfRule type="expression" dxfId="36" priority="3">
      <formula>$G$3&lt;&gt;""</formula>
    </cfRule>
  </conditionalFormatting>
  <conditionalFormatting sqref="H5:AJ5 H6:H8 G4:G29">
    <cfRule type="expression" dxfId="35" priority="41">
      <formula>$G$3="پنجشنبه"</formula>
    </cfRule>
  </conditionalFormatting>
  <conditionalFormatting sqref="I2:I29">
    <cfRule type="expression" dxfId="34" priority="39">
      <formula>$I$3&lt;&gt;""</formula>
    </cfRule>
  </conditionalFormatting>
  <conditionalFormatting sqref="J2:J29">
    <cfRule type="expression" dxfId="33" priority="38">
      <formula>$J$3&lt;&gt;""</formula>
    </cfRule>
  </conditionalFormatting>
  <conditionalFormatting sqref="K2:K29">
    <cfRule type="expression" dxfId="32" priority="37">
      <formula>$K$3&lt;&gt;""</formula>
    </cfRule>
  </conditionalFormatting>
  <conditionalFormatting sqref="L2:L29">
    <cfRule type="expression" dxfId="31" priority="36">
      <formula>$L$3&lt;&gt;""</formula>
    </cfRule>
  </conditionalFormatting>
  <conditionalFormatting sqref="M2:M29">
    <cfRule type="expression" dxfId="30" priority="35">
      <formula>$M$3&lt;&gt;""</formula>
    </cfRule>
  </conditionalFormatting>
  <conditionalFormatting sqref="N2:N29">
    <cfRule type="expression" dxfId="29" priority="34">
      <formula>$N$3&lt;&gt;""</formula>
    </cfRule>
  </conditionalFormatting>
  <conditionalFormatting sqref="O2:O29">
    <cfRule type="expression" dxfId="28" priority="33">
      <formula>$O$3&lt;&gt;""</formula>
    </cfRule>
  </conditionalFormatting>
  <conditionalFormatting sqref="P2:P29">
    <cfRule type="expression" dxfId="27" priority="32">
      <formula>$P$3&lt;&gt;""</formula>
    </cfRule>
  </conditionalFormatting>
  <conditionalFormatting sqref="Q2:Q29">
    <cfRule type="expression" dxfId="26" priority="31">
      <formula>$Q$3&lt;&gt;""</formula>
    </cfRule>
  </conditionalFormatting>
  <conditionalFormatting sqref="R2:R29">
    <cfRule type="expression" dxfId="25" priority="30">
      <formula>$R$3&lt;&gt;""</formula>
    </cfRule>
  </conditionalFormatting>
  <conditionalFormatting sqref="S2:S29">
    <cfRule type="expression" dxfId="24" priority="29">
      <formula>$S$3&lt;&gt;""</formula>
    </cfRule>
  </conditionalFormatting>
  <conditionalFormatting sqref="T2:T29">
    <cfRule type="expression" dxfId="23" priority="28">
      <formula>$T$3&lt;&gt;""</formula>
    </cfRule>
  </conditionalFormatting>
  <conditionalFormatting sqref="U2:U29">
    <cfRule type="expression" dxfId="22" priority="27">
      <formula>$U$3&lt;&gt;""</formula>
    </cfRule>
  </conditionalFormatting>
  <conditionalFormatting sqref="V2:V29">
    <cfRule type="expression" dxfId="21" priority="26">
      <formula>$V$3&lt;&gt;""</formula>
    </cfRule>
  </conditionalFormatting>
  <conditionalFormatting sqref="W2:W29">
    <cfRule type="expression" dxfId="20" priority="25">
      <formula>$W$3&lt;&gt;""</formula>
    </cfRule>
  </conditionalFormatting>
  <conditionalFormatting sqref="X2:X29">
    <cfRule type="expression" dxfId="19" priority="24">
      <formula>$X$3&lt;&gt;""</formula>
    </cfRule>
  </conditionalFormatting>
  <conditionalFormatting sqref="Y2:Y29">
    <cfRule type="expression" dxfId="18" priority="23">
      <formula>$Y$3&lt;&gt;""</formula>
    </cfRule>
  </conditionalFormatting>
  <conditionalFormatting sqref="Z2:Z29">
    <cfRule type="expression" dxfId="17" priority="22">
      <formula>$Z$3&lt;&gt;""</formula>
    </cfRule>
  </conditionalFormatting>
  <conditionalFormatting sqref="AA2:AA29">
    <cfRule type="expression" dxfId="16" priority="21">
      <formula>$AA$3&lt;&gt;""</formula>
    </cfRule>
  </conditionalFormatting>
  <conditionalFormatting sqref="AB2:AB29">
    <cfRule type="expression" dxfId="15" priority="20">
      <formula>$AB$3&lt;&gt;""</formula>
    </cfRule>
  </conditionalFormatting>
  <conditionalFormatting sqref="AC2:AC29">
    <cfRule type="expression" dxfId="14" priority="19">
      <formula>$AC$3&lt;&gt;""</formula>
    </cfRule>
  </conditionalFormatting>
  <conditionalFormatting sqref="AD2:AD29">
    <cfRule type="expression" dxfId="13" priority="18">
      <formula>$AD$3&lt;&gt;""</formula>
    </cfRule>
  </conditionalFormatting>
  <conditionalFormatting sqref="AE2:AE29">
    <cfRule type="expression" dxfId="12" priority="17">
      <formula>$AE$3&lt;&gt;""</formula>
    </cfRule>
  </conditionalFormatting>
  <conditionalFormatting sqref="AF2:AF29">
    <cfRule type="expression" dxfId="11" priority="16">
      <formula>$AF$3&lt;&gt;""</formula>
    </cfRule>
  </conditionalFormatting>
  <conditionalFormatting sqref="AG2:AG29">
    <cfRule type="expression" dxfId="10" priority="15">
      <formula>$AG$3&lt;&gt;""</formula>
    </cfRule>
  </conditionalFormatting>
  <conditionalFormatting sqref="AH2:AH29">
    <cfRule type="expression" dxfId="9" priority="11">
      <formula>$AH$3&lt;&gt;""</formula>
    </cfRule>
  </conditionalFormatting>
  <conditionalFormatting sqref="AI2:AI29">
    <cfRule type="expression" dxfId="8" priority="8">
      <formula>$AI$3&lt;&gt;""</formula>
    </cfRule>
  </conditionalFormatting>
  <conditionalFormatting sqref="AJ2:AJ29">
    <cfRule type="expression" dxfId="7" priority="13">
      <formula>$AJ$3&lt;&gt;""</formula>
    </cfRule>
  </conditionalFormatting>
  <conditionalFormatting sqref="AK2:AK29">
    <cfRule type="expression" dxfId="5" priority="12">
      <formula>$AK$3&lt;&gt;""</formula>
    </cfRule>
  </conditionalFormatting>
  <dataValidations count="1">
    <dataValidation showInputMessage="1" showErrorMessage="1" sqref="AL4:AP4 V1 AI1:AL1" xr:uid="{00000000-0002-0000-0100-000000000000}"/>
  </dataValidations>
  <printOptions horizontalCentered="1" verticalCentered="1"/>
  <pageMargins left="0.25" right="0.25" top="0.75" bottom="0.75" header="0.3" footer="0.3"/>
  <pageSetup paperSize="9" scale="67" orientation="landscape" r:id="rId1"/>
  <headerFooter>
    <oddHeader>&amp;C&amp;"B Koodak,Regular"&amp;12(( &amp;14 بسمه تعالی  &amp;12))</oddHeader>
    <oddFooter>&amp;L&amp;D       &amp;T                                                 &amp;"B Koodak,Regular"&amp;K00+000    طراح: س.رحیمی&amp;"-,Regular"&amp;K01+000  &amp;C&amp;"B Koodak,Regular"&amp;16رییس بیمارستان:&amp;R&amp;"B Koodak,Regular"&amp;16&amp;K00-018طراح: س.رحیمی&amp;K00-024        &amp;K01+000پزشک مسئول  بخش:</oddFooter>
  </headerFooter>
  <legacyDrawing r:id="rId2"/>
  <picture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5A29EEBF-82F9-4BC2-BA28-1D5CE69376AF}">
            <xm:f>NOT(ISERROR(SEARCH(دیتا!$D$8,G2)))</xm:f>
            <xm:f>دیتا!$D$8</xm:f>
            <x14:dxf>
              <font>
                <b/>
                <i val="0"/>
                <u val="none"/>
                <color rgb="FFFFFF00"/>
              </font>
              <fill>
                <patternFill patternType="solid">
                  <bgColor rgb="FFFF0000"/>
                </patternFill>
              </fill>
            </x14:dxf>
          </x14:cfRule>
          <xm:sqref>G2:AK2</xm:sqref>
        </x14:conditionalFormatting>
        <x14:conditionalFormatting xmlns:xm="http://schemas.microsoft.com/office/excel/2006/main">
          <x14:cfRule type="containsText" priority="4" operator="containsText" id="{2A32A666-4AB1-4072-AFB8-664C14900BCD}">
            <xm:f>NOT(ISERROR(SEARCH(دیتا!$T$2,G3)))</xm:f>
            <xm:f>دیتا!$T$2</xm:f>
            <x14:dxf>
              <font>
                <color rgb="FFFFFF00"/>
              </font>
              <fill>
                <patternFill>
                  <bgColor rgb="FFFF0000"/>
                </patternFill>
              </fill>
            </x14:dxf>
          </x14:cfRule>
          <xm:sqref>G3:AK3</xm:sqref>
        </x14:conditionalFormatting>
        <x14:conditionalFormatting xmlns:xm="http://schemas.microsoft.com/office/excel/2006/main">
          <x14:cfRule type="expression" priority="1" id="{AFC9728F-E5D0-46ED-BF36-8340949C9C2C}">
            <xm:f>$AJ$3=دیتا!$T$3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 style="thin">
                  <color auto="1"/>
                </left>
                <right/>
                <top/>
                <bottom/>
                <vertical/>
                <horizontal/>
              </border>
            </x14:dxf>
          </x14:cfRule>
          <xm:sqref>AJ2:AJ29</xm:sqref>
        </x14:conditionalFormatting>
        <x14:conditionalFormatting xmlns:xm="http://schemas.microsoft.com/office/excel/2006/main">
          <x14:cfRule type="expression" priority="2" id="{F0FD7C40-DCB6-426A-8E43-2B72415E7E3E}">
            <xm:f>$AK$3=دیتا!$T$3</xm:f>
            <x14:dxf>
              <font>
                <color theme="0"/>
              </font>
              <fill>
                <patternFill>
                  <bgColor theme="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/>
                <bottom/>
              </border>
            </x14:dxf>
          </x14:cfRule>
          <xm:sqref>AK2:AK29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1000000}">
          <x14:formula1>
            <xm:f>دیتا!$T$2:$U$2</xm:f>
          </x14:formula1>
          <xm:sqref>G3:AI3</xm:sqref>
        </x14:dataValidation>
        <x14:dataValidation type="list" showInputMessage="1" showErrorMessage="1" xr:uid="{00000000-0002-0000-0100-000002000000}">
          <x14:formula1>
            <xm:f>دیتا!$T$2:$T$4</xm:f>
          </x14:formula1>
          <xm:sqref>AJ3:AK3</xm:sqref>
        </x14:dataValidation>
        <x14:dataValidation type="list" showInputMessage="1" showErrorMessage="1" xr:uid="{00000000-0002-0000-0100-000003000000}">
          <x14:formula1>
            <xm:f>دیتا!$F$2:$F$10</xm:f>
          </x14:formula1>
          <xm:sqref>G5:AK29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AE52"/>
  <sheetViews>
    <sheetView showGridLines="0" rightToLeft="1" zoomScale="80" zoomScaleNormal="80" workbookViewId="0">
      <selection activeCell="N10" sqref="N10:U10"/>
    </sheetView>
  </sheetViews>
  <sheetFormatPr defaultColWidth="9.109375" defaultRowHeight="14.4"/>
  <cols>
    <col min="1" max="5" width="4.6640625" style="2" customWidth="1"/>
    <col min="6" max="29" width="6.6640625" style="2" customWidth="1"/>
    <col min="30" max="35" width="4.6640625" style="2" customWidth="1"/>
    <col min="36" max="16384" width="9.109375" style="2"/>
  </cols>
  <sheetData>
    <row r="1" spans="1:3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</row>
    <row r="2" spans="1:3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268" t="s">
        <v>106</v>
      </c>
      <c r="M3" s="268"/>
      <c r="N3" s="268"/>
      <c r="O3" s="268"/>
      <c r="P3" s="268"/>
      <c r="Q3" s="268"/>
      <c r="R3" s="268"/>
      <c r="S3" s="268"/>
      <c r="T3" s="268"/>
      <c r="U3" s="268"/>
      <c r="V3" s="62"/>
      <c r="W3" s="62"/>
      <c r="X3" s="62"/>
      <c r="Y3" s="62"/>
      <c r="Z3" s="62"/>
      <c r="AA3" s="62"/>
      <c r="AB3" s="62"/>
      <c r="AC3" s="62"/>
      <c r="AD3" s="62"/>
      <c r="AE3" s="62"/>
    </row>
    <row r="4" spans="1:3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62"/>
      <c r="W4" s="62"/>
      <c r="X4" s="62"/>
      <c r="Y4" s="62"/>
      <c r="Z4" s="62"/>
      <c r="AA4" s="62"/>
      <c r="AB4" s="62"/>
      <c r="AC4" s="62"/>
      <c r="AD4" s="62"/>
      <c r="AE4" s="62"/>
    </row>
    <row r="5" spans="1:31">
      <c r="A5" s="62"/>
      <c r="B5" s="62"/>
      <c r="C5" s="62"/>
      <c r="D5" s="62"/>
      <c r="E5" s="62"/>
      <c r="F5" s="62"/>
      <c r="G5" s="62"/>
      <c r="H5" s="62"/>
      <c r="I5" s="270" t="str">
        <f>تنظیمات!F2</f>
        <v>مرکز آموزشی پژوهشی درمانی بیمارستان بنت الهدی</v>
      </c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62"/>
      <c r="Y5" s="62"/>
      <c r="Z5" s="62"/>
      <c r="AA5" s="62"/>
      <c r="AB5" s="62"/>
      <c r="AC5" s="62"/>
      <c r="AD5" s="62"/>
      <c r="AE5" s="62"/>
    </row>
    <row r="6" spans="1:31">
      <c r="A6" s="62"/>
      <c r="B6" s="62"/>
      <c r="C6" s="62"/>
      <c r="D6" s="62"/>
      <c r="E6" s="62"/>
      <c r="F6" s="62"/>
      <c r="G6" s="62"/>
      <c r="H6" s="62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62"/>
      <c r="Y6" s="62"/>
      <c r="Z6" s="62"/>
      <c r="AA6" s="62"/>
      <c r="AB6" s="62"/>
      <c r="AC6" s="62"/>
      <c r="AD6" s="62"/>
      <c r="AE6" s="62"/>
    </row>
    <row r="7" spans="1:31" ht="9.75" customHeight="1">
      <c r="A7" s="62"/>
      <c r="B7" s="62"/>
      <c r="C7" s="62"/>
      <c r="D7" s="268" t="s">
        <v>97</v>
      </c>
      <c r="E7" s="268"/>
      <c r="F7" s="268"/>
      <c r="G7" s="268" t="s">
        <v>11</v>
      </c>
      <c r="H7" s="268"/>
      <c r="I7" s="268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268" t="str">
        <f>'برنامه فروردین'!S1&amp;" ماه   "&amp;'برنامه فروردین'!V1</f>
        <v>فروردین   ماه   1403</v>
      </c>
      <c r="W7" s="268"/>
      <c r="X7" s="268"/>
      <c r="Y7" s="268"/>
      <c r="Z7" s="268"/>
      <c r="AA7" s="268"/>
      <c r="AB7" s="62"/>
      <c r="AC7" s="62"/>
      <c r="AD7" s="62"/>
      <c r="AE7" s="62"/>
    </row>
    <row r="8" spans="1:31" s="52" customFormat="1" ht="36" customHeight="1" thickBot="1">
      <c r="A8" s="67"/>
      <c r="B8" s="67"/>
      <c r="C8" s="67"/>
      <c r="D8" s="269"/>
      <c r="E8" s="269"/>
      <c r="F8" s="269"/>
      <c r="G8" s="269"/>
      <c r="H8" s="269"/>
      <c r="I8" s="269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269"/>
      <c r="W8" s="269"/>
      <c r="X8" s="269"/>
      <c r="Y8" s="269"/>
      <c r="Z8" s="269"/>
      <c r="AA8" s="269"/>
      <c r="AB8" s="67"/>
      <c r="AC8" s="67"/>
      <c r="AD8" s="67"/>
      <c r="AE8" s="67"/>
    </row>
    <row r="9" spans="1:31" ht="47.25" customHeight="1">
      <c r="A9" s="62"/>
      <c r="B9" s="62"/>
      <c r="C9" s="271" t="s">
        <v>73</v>
      </c>
      <c r="D9" s="272"/>
      <c r="E9" s="266" t="s">
        <v>107</v>
      </c>
      <c r="F9" s="259" t="s">
        <v>108</v>
      </c>
      <c r="G9" s="259"/>
      <c r="H9" s="259"/>
      <c r="I9" s="259"/>
      <c r="J9" s="259"/>
      <c r="K9" s="259"/>
      <c r="L9" s="259"/>
      <c r="M9" s="259"/>
      <c r="N9" s="259" t="s">
        <v>109</v>
      </c>
      <c r="O9" s="259"/>
      <c r="P9" s="259"/>
      <c r="Q9" s="259"/>
      <c r="R9" s="259"/>
      <c r="S9" s="259"/>
      <c r="T9" s="259"/>
      <c r="U9" s="259"/>
      <c r="V9" s="259" t="s">
        <v>8</v>
      </c>
      <c r="W9" s="259"/>
      <c r="X9" s="259"/>
      <c r="Y9" s="259"/>
      <c r="Z9" s="259"/>
      <c r="AA9" s="259"/>
      <c r="AB9" s="259"/>
      <c r="AC9" s="260"/>
      <c r="AD9" s="62"/>
      <c r="AE9" s="62"/>
    </row>
    <row r="10" spans="1:31" ht="47.25" customHeight="1">
      <c r="A10" s="62"/>
      <c r="B10" s="62"/>
      <c r="C10" s="273"/>
      <c r="D10" s="274"/>
      <c r="E10" s="267"/>
      <c r="F10" s="261" t="s">
        <v>110</v>
      </c>
      <c r="G10" s="261"/>
      <c r="H10" s="261"/>
      <c r="I10" s="261"/>
      <c r="J10" s="261"/>
      <c r="K10" s="261"/>
      <c r="L10" s="261"/>
      <c r="M10" s="261"/>
      <c r="N10" s="261" t="s">
        <v>110</v>
      </c>
      <c r="O10" s="261"/>
      <c r="P10" s="261"/>
      <c r="Q10" s="261"/>
      <c r="R10" s="261"/>
      <c r="S10" s="261"/>
      <c r="T10" s="261"/>
      <c r="U10" s="261"/>
      <c r="V10" s="261" t="s">
        <v>110</v>
      </c>
      <c r="W10" s="261"/>
      <c r="X10" s="261"/>
      <c r="Y10" s="261"/>
      <c r="Z10" s="261"/>
      <c r="AA10" s="261"/>
      <c r="AB10" s="261"/>
      <c r="AC10" s="262"/>
      <c r="AD10" s="62"/>
      <c r="AE10" s="62"/>
    </row>
    <row r="11" spans="1:31" ht="39.9" customHeight="1">
      <c r="A11" s="62"/>
      <c r="B11" s="62"/>
      <c r="C11" s="255" t="str">
        <f>'برنامه فروردین'!G2</f>
        <v>چهار شنبه</v>
      </c>
      <c r="D11" s="256"/>
      <c r="E11" s="68">
        <v>1</v>
      </c>
      <c r="F11" s="250" t="str" cm="1">
        <f t="array" ref="F11">_xlfn.TEXTJOIN(" , ",TRUE,(IF('برنامه فروردین'!$G$5:$G$29=دیتا!$F$3,'برنامه فروردین'!$F$5:$F$29,""))&amp;(IF('برنامه فروردین'!$G$5:$G$29=دیتا!$F$7,'برنامه فروردین'!$F$5:$F$29,""))&amp;(IF('برنامه فروردین'!$G$5:$G$29=دیتا!$F$6,'برنامه فروردین'!$F$5:$F$29,"")))</f>
        <v/>
      </c>
      <c r="G11" s="250"/>
      <c r="H11" s="250"/>
      <c r="I11" s="250"/>
      <c r="J11" s="250"/>
      <c r="K11" s="250"/>
      <c r="L11" s="250"/>
      <c r="M11" s="250"/>
      <c r="N11" s="250" t="str" cm="1">
        <f t="array" ref="N11">_xlfn.TEXTJOIN(" , ",TRUE,(IF('برنامه فروردین'!$G$5:$G$29=دیتا!$F$4,'برنامه فروردین'!$F$5:$F$29,""))&amp;(IF('برنامه فروردین'!$G$5:$G$29=دیتا!$F$6,'برنامه فروردین'!$F$5:$F$29,""))&amp;(IF('برنامه فروردین'!$G$5:$G$29=دیتا!$F$8,'برنامه فروردین'!$F$5:$F$29,"")))</f>
        <v/>
      </c>
      <c r="O11" s="250"/>
      <c r="P11" s="250"/>
      <c r="Q11" s="250"/>
      <c r="R11" s="250"/>
      <c r="S11" s="250"/>
      <c r="T11" s="250"/>
      <c r="U11" s="250"/>
      <c r="V11" s="250" t="str" cm="1">
        <f t="array" ref="V11">_xlfn.TEXTJOIN(" , ",TRUE,(IF('برنامه فروردین'!$G$5:$G$29=دیتا!$F$5,'برنامه فروردین'!$F$5:$F$29,""))&amp;(IF('برنامه فروردین'!$G$5:$G$29=دیتا!$F$7,'برنامه فروردین'!$F$5:$F$29,""))&amp;(IF('برنامه فروردین'!$G$5:$G$29=دیتا!$F$8,'برنامه فروردین'!$F$5:$F$29,"")))</f>
        <v>دکتر علی</v>
      </c>
      <c r="W11" s="250"/>
      <c r="X11" s="250"/>
      <c r="Y11" s="250"/>
      <c r="Z11" s="250"/>
      <c r="AA11" s="250"/>
      <c r="AB11" s="250"/>
      <c r="AC11" s="252"/>
      <c r="AD11" s="62"/>
      <c r="AE11" s="62"/>
    </row>
    <row r="12" spans="1:31" ht="39.9" customHeight="1">
      <c r="A12" s="62"/>
      <c r="B12" s="62"/>
      <c r="C12" s="255" t="str">
        <f>IF(C11="شنبه","یکشنبه",IF(C11="یکشنبه","دوشنبه",IF(C11="دوشنبه","سه شنبه",IF(C11="سه شنبه","چهار شنبه",IF(C11="چهار شنبه","پنج شنبه",IF(C11="پنج شنبه","جمعه",IF(C11="جمعه","شنبه")))))))</f>
        <v>پنج شنبه</v>
      </c>
      <c r="D12" s="256"/>
      <c r="E12" s="68">
        <v>2</v>
      </c>
      <c r="F12" s="250" t="str" cm="1">
        <f t="array" ref="F12">_xlfn.TEXTJOIN(" , ",TRUE,(IF('برنامه فروردین'!$H$5:$H$29=دیتا!$F$3,'برنامه فروردین'!$F$5:$F$29,""))&amp;(IF('برنامه فروردین'!$H$5:$H$29=دیتا!$F$7,'برنامه فروردین'!$F$5:$F$29,""))&amp;(IF('برنامه فروردین'!$H$5:$H$29=دیتا!$F$6,'برنامه فروردین'!$F$5:$F$29,"")))</f>
        <v/>
      </c>
      <c r="G12" s="250"/>
      <c r="H12" s="250"/>
      <c r="I12" s="250"/>
      <c r="J12" s="250"/>
      <c r="K12" s="250"/>
      <c r="L12" s="250"/>
      <c r="M12" s="250"/>
      <c r="N12" s="263" t="str" cm="1">
        <f t="array" ref="N12">_xlfn.TEXTJOIN(" , ",TRUE,(IF('برنامه فروردین'!$H$5:$H$29=دیتا!$F$4,'برنامه فروردین'!$F$5:$F$29,""))&amp;(IF('برنامه فروردین'!$H$5:$H$29=دیتا!$F$6,'برنامه فروردین'!$F$5:$F$29,""))&amp;(IF('برنامه فروردین'!$H$5:$H$29=دیتا!$F$8,'برنامه فروردین'!$F$5:$F$29,"")))</f>
        <v>دکتر محسن</v>
      </c>
      <c r="O12" s="264"/>
      <c r="P12" s="264"/>
      <c r="Q12" s="264"/>
      <c r="R12" s="264"/>
      <c r="S12" s="264"/>
      <c r="T12" s="264"/>
      <c r="U12" s="265"/>
      <c r="V12" s="250" t="str" cm="1">
        <f t="array" ref="V12">_xlfn.TEXTJOIN(" , ",TRUE,(IF('برنامه فروردین'!$H$5:$H$29=دیتا!$F$5,'برنامه فروردین'!$F$5:$F$29,""))&amp;(IF('برنامه فروردین'!$H$5:$H$29=دیتا!$F$7,'برنامه فروردین'!$F$5:$F$29,""))&amp;(IF('برنامه فروردین'!$H$5:$H$29=دیتا!$F$8,'برنامه فروردین'!$F$5:$F$29,"")))</f>
        <v>دکتر خالد</v>
      </c>
      <c r="W12" s="250"/>
      <c r="X12" s="250"/>
      <c r="Y12" s="250"/>
      <c r="Z12" s="250"/>
      <c r="AA12" s="250"/>
      <c r="AB12" s="250"/>
      <c r="AC12" s="252"/>
      <c r="AD12" s="62"/>
      <c r="AE12" s="62"/>
    </row>
    <row r="13" spans="1:31" ht="39.9" customHeight="1">
      <c r="A13" s="62"/>
      <c r="B13" s="62"/>
      <c r="C13" s="255" t="str">
        <f t="shared" ref="C13:C41" si="0">IF(C12="شنبه","یکشنبه",IF(C12="یکشنبه","دوشنبه",IF(C12="دوشنبه","سه شنبه",IF(C12="سه شنبه","چهار شنبه",IF(C12="چهار شنبه","پنج شنبه",IF(C12="پنج شنبه","جمعه",IF(C12="جمعه","شنبه")))))))</f>
        <v>جمعه</v>
      </c>
      <c r="D13" s="256"/>
      <c r="E13" s="68">
        <v>3</v>
      </c>
      <c r="F13" s="250" t="str" cm="1">
        <f t="array" ref="F13">_xlfn.TEXTJOIN(" , ",TRUE,(IF('برنامه فروردین'!$I$5:$I$29=دیتا!$F$3,'برنامه فروردین'!$F$5:$F$29,""))&amp;(IF('برنامه فروردین'!$I$5:$I$29=دیتا!$F$7,'برنامه فروردین'!$F$5:$F$29,""))&amp;(IF('برنامه فروردین'!$I$5:$I$29=دیتا!$F$6,'برنامه فروردین'!$F$5:$F$29,"")))</f>
        <v>دکتر محسن</v>
      </c>
      <c r="G13" s="250"/>
      <c r="H13" s="250"/>
      <c r="I13" s="250"/>
      <c r="J13" s="250"/>
      <c r="K13" s="250"/>
      <c r="L13" s="250"/>
      <c r="M13" s="250"/>
      <c r="N13" s="250" t="str" cm="1">
        <f t="array" ref="N13">_xlfn.TEXTJOIN(" , ",TRUE,(IF('برنامه فروردین'!$I$5:$I$29=دیتا!$F$4,'برنامه فروردین'!$F$5:$F$29,""))&amp;(IF('برنامه فروردین'!$I$5:$I$29=دیتا!$F$6,'برنامه فروردین'!$F$5:$F$29,"")&amp;(IF('برنامه فروردین'!$I$5:$I$29=دیتا!$F$8,'برنامه فروردین'!$F$5:$F$29,""))))</f>
        <v>دکتر علی</v>
      </c>
      <c r="O13" s="250"/>
      <c r="P13" s="250"/>
      <c r="Q13" s="250"/>
      <c r="R13" s="250"/>
      <c r="S13" s="250"/>
      <c r="T13" s="250"/>
      <c r="U13" s="250"/>
      <c r="V13" s="250" t="str" cm="1">
        <f t="array" ref="V13">_xlfn.TEXTJOIN(" , ",TRUE,(IF('برنامه فروردین'!$I$5:$I$29=دیتا!$F$5,'برنامه فروردین'!$F$5:$F$29,""))&amp;(IF('برنامه فروردین'!$I$5:$I$29=دیتا!$F$7,'برنامه فروردین'!$F$5:$F$29,""))&amp;(IF('برنامه فروردین'!$I$5:$I$29=دیتا!$F$8,'برنامه فروردین'!$F$5:$F$29,"")))</f>
        <v>دکتر صبا</v>
      </c>
      <c r="W13" s="250"/>
      <c r="X13" s="250"/>
      <c r="Y13" s="250"/>
      <c r="Z13" s="250"/>
      <c r="AA13" s="250"/>
      <c r="AB13" s="250"/>
      <c r="AC13" s="252"/>
      <c r="AD13" s="62"/>
      <c r="AE13" s="62"/>
    </row>
    <row r="14" spans="1:31" ht="39.9" customHeight="1">
      <c r="A14" s="62"/>
      <c r="B14" s="62"/>
      <c r="C14" s="255" t="str">
        <f t="shared" si="0"/>
        <v>شنبه</v>
      </c>
      <c r="D14" s="256"/>
      <c r="E14" s="68">
        <v>4</v>
      </c>
      <c r="F14" s="250" t="str" cm="1">
        <f t="array" ref="F14">_xlfn.TEXTJOIN(" , ",TRUE,(IF('برنامه فروردین'!$J$5:$J$29=دیتا!$F$3,'برنامه فروردین'!$F$5:$F$29,""))&amp;(IF('برنامه فروردین'!$J$5:$J$29=دیتا!$F$7,'برنامه فروردین'!$F$5:$F$29,""))&amp;(IF('برنامه فروردین'!$J$5:$J$29=دیتا!$F$6,'برنامه فروردین'!$F$5:$F$29,"")))</f>
        <v>دکتر خالد</v>
      </c>
      <c r="G14" s="250"/>
      <c r="H14" s="250"/>
      <c r="I14" s="250"/>
      <c r="J14" s="250"/>
      <c r="K14" s="250"/>
      <c r="L14" s="250"/>
      <c r="M14" s="250"/>
      <c r="N14" s="250" t="str" cm="1">
        <f t="array" ref="N14">_xlfn.TEXTJOIN(" , ",TRUE,(IF('برنامه فروردین'!$J$5:$J$29=دیتا!$F$4,'برنامه فروردین'!$F$5:$F$29,""))&amp;(IF('برنامه فروردین'!$J$5:$J$29=دیتا!$F$6,'برنامه فروردین'!$F$5:$F$29,""))&amp;(IF('برنامه فروردین'!$J$5:$J$29=دیتا!$F$8,'برنامه فروردین'!$F$5:$F$29,"")))</f>
        <v/>
      </c>
      <c r="O14" s="250"/>
      <c r="P14" s="250"/>
      <c r="Q14" s="250"/>
      <c r="R14" s="250"/>
      <c r="S14" s="250"/>
      <c r="T14" s="250"/>
      <c r="U14" s="250"/>
      <c r="V14" s="250" t="str" cm="1">
        <f t="array" ref="V14">_xlfn.TEXTJOIN(" , ",TRUE,(IF('برنامه فروردین'!$J$5:$J$29=دیتا!$F$5,'برنامه فروردین'!$F$5:$F$29,""))&amp;(IF('برنامه فروردین'!$J$5:$J$29=دیتا!$F$7,'برنامه فروردین'!$F$5:$F$29,""))&amp;(IF('برنامه فروردین'!$J$5:$J$29=دیتا!$F$8,'برنامه فروردین'!$F$5:$F$29,"")))</f>
        <v>دکتر علی</v>
      </c>
      <c r="W14" s="250"/>
      <c r="X14" s="250"/>
      <c r="Y14" s="250"/>
      <c r="Z14" s="250"/>
      <c r="AA14" s="250"/>
      <c r="AB14" s="250"/>
      <c r="AC14" s="252"/>
      <c r="AD14" s="62"/>
      <c r="AE14" s="62"/>
    </row>
    <row r="15" spans="1:31" ht="39.9" customHeight="1">
      <c r="A15" s="62"/>
      <c r="B15" s="62"/>
      <c r="C15" s="255" t="str">
        <f t="shared" si="0"/>
        <v>یکشنبه</v>
      </c>
      <c r="D15" s="256"/>
      <c r="E15" s="68">
        <v>5</v>
      </c>
      <c r="F15" s="250" t="str" cm="1">
        <f t="array" ref="F15">_xlfn.TEXTJOIN(" , ",TRUE,(IF('برنامه فروردین'!$K$5:$K$29=دیتا!$F$3,'برنامه فروردین'!$F$5:$F$29,""))&amp;(IF('برنامه فروردین'!$K$5:$K$29=دیتا!$F$7,'برنامه فروردین'!$F$5:$F$29,""))&amp;(IF('برنامه فروردین'!$K$5:$K$29=دیتا!$F$6,'برنامه فروردین'!$F$5:$F$29,"")))</f>
        <v>دکتر خالد</v>
      </c>
      <c r="G15" s="250"/>
      <c r="H15" s="250"/>
      <c r="I15" s="250"/>
      <c r="J15" s="250"/>
      <c r="K15" s="250"/>
      <c r="L15" s="250"/>
      <c r="M15" s="250"/>
      <c r="N15" s="250" t="str" cm="1">
        <f t="array" ref="N15">_xlfn.TEXTJOIN(" , ",TRUE,(IF('برنامه فروردین'!$K$5:$K$29=دیتا!$F$4,'برنامه فروردین'!$F$5:$F$29,""))&amp;(IF('برنامه فروردین'!$K$5:$K$29=دیتا!$F$6,'برنامه فروردین'!$F$5:$F$29,""))&amp;(IF('برنامه فروردین'!$K$5:$K$29=دیتا!$F$8,'برنامه فروردین'!$F$5:$F$29,"")))</f>
        <v>دکتر صبا</v>
      </c>
      <c r="O15" s="250"/>
      <c r="P15" s="250"/>
      <c r="Q15" s="250"/>
      <c r="R15" s="250"/>
      <c r="S15" s="250"/>
      <c r="T15" s="250"/>
      <c r="U15" s="250"/>
      <c r="V15" s="250" t="str" cm="1">
        <f t="array" ref="V15">_xlfn.TEXTJOIN(" , ",TRUE,(IF('برنامه فروردین'!$K$5:$K$29=دیتا!$F$5,'برنامه فروردین'!$F$5:$F$29,""))&amp;(IF('برنامه فروردین'!$K$5:$K$29=دیتا!$F$7,'برنامه فروردین'!$F$5:$F$29,""))&amp;(IF('برنامه فروردین'!$K$5:$K$29=دیتا!$F$8,'برنامه فروردین'!$F$5:$F$29,"")))</f>
        <v>دکتر محسن</v>
      </c>
      <c r="W15" s="250"/>
      <c r="X15" s="250"/>
      <c r="Y15" s="250"/>
      <c r="Z15" s="250"/>
      <c r="AA15" s="250"/>
      <c r="AB15" s="250"/>
      <c r="AC15" s="252"/>
      <c r="AD15" s="62"/>
      <c r="AE15" s="62"/>
    </row>
    <row r="16" spans="1:31" ht="39.9" customHeight="1">
      <c r="A16" s="62"/>
      <c r="B16" s="62"/>
      <c r="C16" s="255" t="str">
        <f t="shared" si="0"/>
        <v>دوشنبه</v>
      </c>
      <c r="D16" s="256"/>
      <c r="E16" s="68">
        <v>6</v>
      </c>
      <c r="F16" s="250" t="str" cm="1">
        <f t="array" ref="F16">_xlfn.TEXTJOIN(" , ",TRUE,(IF('برنامه فروردین'!$L$5:$L$29=دیتا!$F$3,'برنامه فروردین'!$F$5:$F$29,""))&amp;(IF('برنامه فروردین'!$L$5:$L$29=دیتا!$F$7,'برنامه فروردین'!$F$5:$F$29,""))&amp;(IF('برنامه فروردین'!$L$5:$L$29=دیتا!$F$6,'برنامه فروردین'!$F$5:$F$29,"")))</f>
        <v/>
      </c>
      <c r="G16" s="250"/>
      <c r="H16" s="250"/>
      <c r="I16" s="250"/>
      <c r="J16" s="250"/>
      <c r="K16" s="250"/>
      <c r="L16" s="250"/>
      <c r="M16" s="250"/>
      <c r="N16" s="250" t="str" cm="1">
        <f t="array" ref="N16">_xlfn.TEXTJOIN(" , ",TRUE,(IF('برنامه فروردین'!$L$5:$L$29=دیتا!$F$4,'برنامه فروردین'!$F$5:$F$29,""))&amp;(IF('برنامه فروردین'!$L$5:$L$29=دیتا!$F$6,'برنامه فروردین'!$F$5:$F$29,""))&amp;(IF('برنامه فروردین'!$L$5:$L$29=دیتا!$F$8,'برنامه فروردین'!$F$5:$F$29,"")))</f>
        <v>دکتر علی</v>
      </c>
      <c r="O16" s="250"/>
      <c r="P16" s="250"/>
      <c r="Q16" s="250"/>
      <c r="R16" s="250"/>
      <c r="S16" s="250"/>
      <c r="T16" s="250"/>
      <c r="U16" s="250"/>
      <c r="V16" s="250" t="str" cm="1">
        <f t="array" ref="V16">_xlfn.TEXTJOIN(" , ",TRUE,(IF('برنامه فروردین'!$L$5:$L$29=دیتا!$F$5,'برنامه فروردین'!$F$5:$F$29,""))&amp;(IF('برنامه فروردین'!$L$5:$L$29=دیتا!$F$7,'برنامه فروردین'!$F$5:$F$29,""))&amp;(IF('برنامه فروردین'!$L$5:$L$29=دیتا!$F$8,'برنامه فروردین'!$F$5:$F$29,"")))</f>
        <v>دکتر صبا</v>
      </c>
      <c r="W16" s="250"/>
      <c r="X16" s="250"/>
      <c r="Y16" s="250"/>
      <c r="Z16" s="250"/>
      <c r="AA16" s="250"/>
      <c r="AB16" s="250"/>
      <c r="AC16" s="252"/>
      <c r="AD16" s="62"/>
      <c r="AE16" s="62"/>
    </row>
    <row r="17" spans="1:31" ht="39.9" customHeight="1">
      <c r="A17" s="62"/>
      <c r="B17" s="62"/>
      <c r="C17" s="255" t="str">
        <f t="shared" si="0"/>
        <v>سه شنبه</v>
      </c>
      <c r="D17" s="256"/>
      <c r="E17" s="68">
        <v>7</v>
      </c>
      <c r="F17" s="250" t="str" cm="1">
        <f t="array" ref="F17">_xlfn.TEXTJOIN(" , ",TRUE,(IF('برنامه فروردین'!$M$5:$M$29=دیتا!$F$3,'برنامه فروردین'!$F$5:$F$29,""))&amp;(IF('برنامه فروردین'!$M$5:$M$29=دیتا!$F$7,'برنامه فروردین'!$F$5:$F$29,""))&amp;(IF('برنامه فروردین'!$M$5:$M$29=دیتا!$F$6,'برنامه فروردین'!$F$5:$F$29,"")))</f>
        <v>دکتر خالد</v>
      </c>
      <c r="G17" s="250"/>
      <c r="H17" s="250"/>
      <c r="I17" s="250"/>
      <c r="J17" s="250"/>
      <c r="K17" s="250"/>
      <c r="L17" s="250"/>
      <c r="M17" s="250"/>
      <c r="N17" s="250" t="str" cm="1">
        <f t="array" ref="N17">_xlfn.TEXTJOIN(" , ",TRUE,(IF('برنامه فروردین'!$M$5:$M$29=دیتا!$F$4,'برنامه فروردین'!$F$5:$F$29,""))&amp;(IF('برنامه فروردین'!$M$5:$M$29=دیتا!$F$6,'برنامه فروردین'!$F$5:$F$29,""))&amp;(IF('برنامه فروردین'!$M$5:$M$29=دیتا!$F$8,'برنامه فروردین'!$F$5:$F$29,"")))</f>
        <v/>
      </c>
      <c r="O17" s="250"/>
      <c r="P17" s="250"/>
      <c r="Q17" s="250"/>
      <c r="R17" s="250"/>
      <c r="S17" s="250"/>
      <c r="T17" s="250"/>
      <c r="U17" s="250"/>
      <c r="V17" s="250" t="str" cm="1">
        <f t="array" ref="V17">_xlfn.TEXTJOIN(" , ",TRUE,(IF('برنامه فروردین'!$M$5:$M$29=دیتا!$F$5,'برنامه فروردین'!$F$5:$F$29,""))&amp;(IF('برنامه فروردین'!$M$5:$M$29=دیتا!$F$7,'برنامه فروردین'!$F$5:$F$29,""))&amp;(IF('برنامه فروردین'!$M$5:$M$29=دیتا!$F$8,'برنامه فروردین'!$F$5:$F$29,"")))</f>
        <v>دکتر محسن</v>
      </c>
      <c r="W17" s="250"/>
      <c r="X17" s="250"/>
      <c r="Y17" s="250"/>
      <c r="Z17" s="250"/>
      <c r="AA17" s="250"/>
      <c r="AB17" s="250"/>
      <c r="AC17" s="252"/>
      <c r="AD17" s="62"/>
      <c r="AE17" s="62"/>
    </row>
    <row r="18" spans="1:31" ht="39.9" customHeight="1">
      <c r="A18" s="62"/>
      <c r="B18" s="62"/>
      <c r="C18" s="255" t="str">
        <f t="shared" si="0"/>
        <v>چهار شنبه</v>
      </c>
      <c r="D18" s="256"/>
      <c r="E18" s="68">
        <v>8</v>
      </c>
      <c r="F18" s="250" t="str" cm="1">
        <f t="array" ref="F18">_xlfn.TEXTJOIN(" , ",TRUE,(IF('برنامه فروردین'!$N$5:$N$29=دیتا!$F$3,'برنامه فروردین'!$F$5:$F$29,""))&amp;(IF('برنامه فروردین'!$N$5:$N$29=دیتا!$F$7,'برنامه فروردین'!$F$5:$F$29,""))&amp;(IF('برنامه فروردین'!$N$5:$N$29=دیتا!$F$6,'برنامه فروردین'!$F$5:$F$29,"")))</f>
        <v/>
      </c>
      <c r="G18" s="250"/>
      <c r="H18" s="250"/>
      <c r="I18" s="250"/>
      <c r="J18" s="250"/>
      <c r="K18" s="250"/>
      <c r="L18" s="250"/>
      <c r="M18" s="250"/>
      <c r="N18" s="250" t="str" cm="1">
        <f t="array" ref="N18">_xlfn.TEXTJOIN(" , ",TRUE,(IF('برنامه فروردین'!$N$5:$N$29=دیتا!$F$4,'برنامه فروردین'!$F$5:$F$29,""))&amp;(IF('برنامه فروردین'!$N$5:$N$29=دیتا!$F$6,'برنامه فروردین'!$F$5:$F$29,"")&amp;(IF('برنامه فروردین'!$N$5:$N$29=دیتا!$F$8,'برنامه فروردین'!$F$5:$F$29,""))))</f>
        <v>دکتر خالد</v>
      </c>
      <c r="O18" s="250"/>
      <c r="P18" s="250"/>
      <c r="Q18" s="250"/>
      <c r="R18" s="250"/>
      <c r="S18" s="250"/>
      <c r="T18" s="250"/>
      <c r="U18" s="250"/>
      <c r="V18" s="250" t="str" cm="1">
        <f t="array" ref="V18">_xlfn.TEXTJOIN(" , ",TRUE,(IF('برنامه فروردین'!$N$5:$N$29=دیتا!$F$5,'برنامه فروردین'!$F$5:$F$29,""))&amp;(IF('برنامه فروردین'!$N$5:$N$29=دیتا!$F$7,'برنامه فروردین'!$F$5:$F$29,""))&amp;(IF('برنامه فروردین'!$N$5:$N$29=دیتا!$F$8,'برنامه فروردین'!$F$5:$F$29,"")))</f>
        <v>دکتر علی , دکتر خالد</v>
      </c>
      <c r="W18" s="250"/>
      <c r="X18" s="250"/>
      <c r="Y18" s="250"/>
      <c r="Z18" s="250"/>
      <c r="AA18" s="250"/>
      <c r="AB18" s="250"/>
      <c r="AC18" s="252"/>
      <c r="AD18" s="62"/>
      <c r="AE18" s="62"/>
    </row>
    <row r="19" spans="1:31" ht="39.9" customHeight="1">
      <c r="A19" s="62"/>
      <c r="B19" s="62"/>
      <c r="C19" s="255" t="str">
        <f t="shared" si="0"/>
        <v>پنج شنبه</v>
      </c>
      <c r="D19" s="256"/>
      <c r="E19" s="68">
        <v>9</v>
      </c>
      <c r="F19" s="250" t="str" cm="1">
        <f t="array" ref="F19">_xlfn.TEXTJOIN(" , ",TRUE,(IF('برنامه فروردین'!$O$5:$O$29=دیتا!$F$3,'برنامه فروردین'!$F$5:$F$29,""))&amp;(IF('برنامه فروردین'!$O$5:$O$29=دیتا!$F$7,'برنامه فروردین'!$F$5:$F$29,""))&amp;(IF('برنامه فروردین'!$O$5:$O$29=دیتا!$F$6,'برنامه فروردین'!$F$5:$F$29,"")))</f>
        <v>دکتر محسن</v>
      </c>
      <c r="G19" s="250"/>
      <c r="H19" s="250"/>
      <c r="I19" s="250"/>
      <c r="J19" s="250"/>
      <c r="K19" s="250"/>
      <c r="L19" s="250"/>
      <c r="M19" s="250"/>
      <c r="N19" s="250" t="str" cm="1">
        <f t="array" ref="N19">_xlfn.TEXTJOIN(" , ",TRUE,(IF('برنامه فروردین'!$O$5:$O$29=دیتا!$F$4,'برنامه فروردین'!$F$5:$F$29,""))&amp;(IF('برنامه فروردین'!$O$5:$O$29=دیتا!$F$6,'برنامه فروردین'!$F$5:$F$29,""))&amp;(IF('برنامه فروردین'!$O$5:$O$29=دیتا!$F$8,'برنامه فروردین'!$F$5:$F$29,"")))</f>
        <v/>
      </c>
      <c r="O19" s="250"/>
      <c r="P19" s="250"/>
      <c r="Q19" s="250"/>
      <c r="R19" s="250"/>
      <c r="S19" s="250"/>
      <c r="T19" s="250"/>
      <c r="U19" s="250"/>
      <c r="V19" s="250" t="str" cm="1">
        <f t="array" ref="V19">_xlfn.TEXTJOIN(" , ",TRUE,(IF('برنامه فروردین'!$O$5:$O$29=دیتا!$F$5,'برنامه فروردین'!$F$5:$F$29,""))&amp;(IF('برنامه فروردین'!$O$5:$O$29=دیتا!$F$7,'برنامه فروردین'!$F$5:$F$29,""))&amp;(IF('برنامه فروردین'!$O$5:$O$29=دیتا!$F$8,'برنامه فروردین'!$F$5:$F$29,"")))</f>
        <v>دکتر خالد</v>
      </c>
      <c r="W19" s="250"/>
      <c r="X19" s="250"/>
      <c r="Y19" s="250"/>
      <c r="Z19" s="250"/>
      <c r="AA19" s="250"/>
      <c r="AB19" s="250"/>
      <c r="AC19" s="252"/>
      <c r="AD19" s="62"/>
      <c r="AE19" s="62"/>
    </row>
    <row r="20" spans="1:31" ht="39.9" customHeight="1">
      <c r="A20" s="62"/>
      <c r="B20" s="62"/>
      <c r="C20" s="255" t="str">
        <f t="shared" si="0"/>
        <v>جمعه</v>
      </c>
      <c r="D20" s="256"/>
      <c r="E20" s="68">
        <v>10</v>
      </c>
      <c r="F20" s="250" t="str" cm="1">
        <f t="array" ref="F20">_xlfn.TEXTJOIN(" , ",TRUE,(IF('برنامه فروردین'!$P$5:$P$29=دیتا!$F$3,'برنامه فروردین'!$F$5:$F$29,""))&amp;(IF('برنامه فروردین'!$P$5:$P$29=دیتا!$F$7,'برنامه فروردین'!$F$5:$F$29,""))&amp;(IF('برنامه فروردین'!$P$5:$P$29=دیتا!$F$6,'برنامه فروردین'!$F$5:$F$29,"")))</f>
        <v/>
      </c>
      <c r="G20" s="250"/>
      <c r="H20" s="250"/>
      <c r="I20" s="250"/>
      <c r="J20" s="250"/>
      <c r="K20" s="250"/>
      <c r="L20" s="250"/>
      <c r="M20" s="250"/>
      <c r="N20" s="250" t="str" cm="1">
        <f t="array" ref="N20">_xlfn.TEXTJOIN(" , ",TRUE,(IF('برنامه فروردین'!$P$5:$P$29=دیتا!$F$4,'برنامه فروردین'!$F$5:$F$29,""))&amp;(IF('برنامه فروردین'!$P$5:$P$29=دیتا!$F$6,'برنامه فروردین'!$F$5:$F$29,"")&amp;(IF('برنامه فروردین'!$P$5:$P$29=دیتا!$F$8,'برنامه فروردین'!$F$5:$F$29,""))))</f>
        <v>دکتر علی</v>
      </c>
      <c r="O20" s="250"/>
      <c r="P20" s="250"/>
      <c r="Q20" s="250"/>
      <c r="R20" s="250"/>
      <c r="S20" s="250"/>
      <c r="T20" s="250"/>
      <c r="U20" s="250"/>
      <c r="V20" s="250" t="str" cm="1">
        <f t="array" ref="V20">_xlfn.TEXTJOIN(" , ",TRUE,(IF('برنامه فروردین'!$P$5:$P$29=دیتا!$F$5,'برنامه فروردین'!$F$5:$F$29,""))&amp;(IF('برنامه فروردین'!$P$5:$P$29=دیتا!$F$7,'برنامه فروردین'!$F$5:$F$29,""))&amp;(IF('برنامه فروردین'!$P$5:$P$29=دیتا!$F$8,'برنامه فروردین'!$F$5:$F$29,"")))</f>
        <v>دکتر محسن</v>
      </c>
      <c r="W20" s="250"/>
      <c r="X20" s="250"/>
      <c r="Y20" s="250"/>
      <c r="Z20" s="250"/>
      <c r="AA20" s="250"/>
      <c r="AB20" s="250"/>
      <c r="AC20" s="252"/>
      <c r="AD20" s="62"/>
      <c r="AE20" s="62"/>
    </row>
    <row r="21" spans="1:31" ht="39.9" customHeight="1">
      <c r="A21" s="62"/>
      <c r="B21" s="62"/>
      <c r="C21" s="255" t="str">
        <f t="shared" si="0"/>
        <v>شنبه</v>
      </c>
      <c r="D21" s="256"/>
      <c r="E21" s="68">
        <v>11</v>
      </c>
      <c r="F21" s="250" t="str" cm="1">
        <f t="array" ref="F21">_xlfn.TEXTJOIN(" , ",TRUE,(IF('برنامه فروردین'!$Q$5:$Q$29=دیتا!$F$3,'برنامه فروردین'!$F$5:$F$29,""))&amp;(IF('برنامه فروردین'!$Q$5:$Q$29=دیتا!$F$7,'برنامه فروردین'!$F$5:$F$29,""))&amp;(IF('برنامه فروردین'!$Q$5:$Q$29=دیتا!$F$6,'برنامه فروردین'!$F$5:$F$29,"")))</f>
        <v>دکتر علی</v>
      </c>
      <c r="G21" s="250"/>
      <c r="H21" s="250"/>
      <c r="I21" s="250"/>
      <c r="J21" s="250"/>
      <c r="K21" s="250"/>
      <c r="L21" s="250"/>
      <c r="M21" s="250"/>
      <c r="N21" s="250" t="str" cm="1">
        <f t="array" ref="N21">_xlfn.TEXTJOIN(" , ",TRUE,(IF('برنامه فروردین'!$Q$5:$Q$29=دیتا!$F$4,'برنامه فروردین'!$F$5:$F$29,""))&amp;(IF('برنامه فروردین'!$Q$5:$Q$29=دیتا!$F$6,'برنامه فروردین'!$F$5:$F$29,""))&amp;(IF('برنامه فروردین'!$Q$5:$Q$29=دیتا!$F$8,'برنامه فروردین'!$F$5:$F$29,"")))</f>
        <v/>
      </c>
      <c r="O21" s="250"/>
      <c r="P21" s="250"/>
      <c r="Q21" s="250"/>
      <c r="R21" s="250"/>
      <c r="S21" s="250"/>
      <c r="T21" s="250"/>
      <c r="U21" s="250"/>
      <c r="V21" s="250" t="str" cm="1">
        <f t="array" ref="V21">_xlfn.TEXTJOIN(" , ",TRUE,(IF('برنامه فروردین'!$Q$5:$Q$29=دیتا!$F$5,'برنامه فروردین'!$F$5:$F$29,""))&amp;(IF('برنامه فروردین'!$Q$5:$Q$29=دیتا!$F$7,'برنامه فروردین'!$F$5:$F$29,""))&amp;(IF('برنامه فروردین'!$Q$5:$Q$29=دیتا!$F$8,'برنامه فروردین'!$F$5:$F$29,"")))</f>
        <v>دکتر علی</v>
      </c>
      <c r="W21" s="250"/>
      <c r="X21" s="250"/>
      <c r="Y21" s="250"/>
      <c r="Z21" s="250"/>
      <c r="AA21" s="250"/>
      <c r="AB21" s="250"/>
      <c r="AC21" s="252"/>
      <c r="AD21" s="62"/>
      <c r="AE21" s="62"/>
    </row>
    <row r="22" spans="1:31" ht="39.9" customHeight="1">
      <c r="A22" s="62"/>
      <c r="B22" s="62"/>
      <c r="C22" s="255" t="str">
        <f t="shared" si="0"/>
        <v>یکشنبه</v>
      </c>
      <c r="D22" s="256"/>
      <c r="E22" s="68">
        <v>12</v>
      </c>
      <c r="F22" s="250" t="str" cm="1">
        <f t="array" ref="F22">_xlfn.TEXTJOIN(" , ",TRUE,(IF('برنامه فروردین'!$R$5:$R$29=دیتا!$F$3,'برنامه فروردین'!$F$5:$F$29,""))&amp;(IF('برنامه فروردین'!$R$5:$R$29=دیتا!$F$7,'برنامه فروردین'!$F$5:$F$29,""))&amp;(IF('برنامه فروردین'!$R$5:$R$29=دیتا!$F$6,'برنامه فروردین'!$F$5:$F$29,"")))</f>
        <v/>
      </c>
      <c r="G22" s="250"/>
      <c r="H22" s="250"/>
      <c r="I22" s="250"/>
      <c r="J22" s="250"/>
      <c r="K22" s="250"/>
      <c r="L22" s="250"/>
      <c r="M22" s="250"/>
      <c r="N22" s="250" t="str" cm="1">
        <f t="array" ref="N22">_xlfn.TEXTJOIN(" , ",TRUE,(IF('برنامه فروردین'!$R$5:$R$29=دیتا!$F$4,'برنامه فروردین'!$F$5:$F$29,""))&amp;(IF('برنامه فروردین'!$R$5:$R$29=دیتا!$F$6,'برنامه فروردین'!$F$5:$F$29,""))&amp;(IF('برنامه فروردین'!$R$5:$R$29=دیتا!$F$8,'برنامه فروردین'!$F$5:$F$29,"")))</f>
        <v>دکتر محسن</v>
      </c>
      <c r="O22" s="250"/>
      <c r="P22" s="250"/>
      <c r="Q22" s="250"/>
      <c r="R22" s="250"/>
      <c r="S22" s="250"/>
      <c r="T22" s="250"/>
      <c r="U22" s="250"/>
      <c r="V22" s="250" t="str" cm="1">
        <f t="array" ref="V22">_xlfn.TEXTJOIN(" , ",TRUE,(IF('برنامه فروردین'!$R$5:$R$29=دیتا!$F$5,'برنامه فروردین'!$F$5:$F$29,""))&amp;(IF('برنامه فروردین'!$R$5:$R$29=دیتا!$F$7,'برنامه فروردین'!$F$5:$F$29,""))&amp;(IF('برنامه فروردین'!$R$5:$R$29=دیتا!$F$8,'برنامه فروردین'!$F$5:$F$29,"")))</f>
        <v>دکتر علی</v>
      </c>
      <c r="W22" s="250"/>
      <c r="X22" s="250"/>
      <c r="Y22" s="250"/>
      <c r="Z22" s="250"/>
      <c r="AA22" s="250"/>
      <c r="AB22" s="250"/>
      <c r="AC22" s="252"/>
      <c r="AD22" s="62"/>
      <c r="AE22" s="62"/>
    </row>
    <row r="23" spans="1:31" ht="39.9" customHeight="1">
      <c r="A23" s="62"/>
      <c r="B23" s="62"/>
      <c r="C23" s="255" t="str">
        <f t="shared" si="0"/>
        <v>دوشنبه</v>
      </c>
      <c r="D23" s="256"/>
      <c r="E23" s="68">
        <v>13</v>
      </c>
      <c r="F23" s="250" t="str" cm="1">
        <f t="array" ref="F23">_xlfn.TEXTJOIN(" , ",TRUE,(IF('برنامه فروردین'!$S$5:$S$29=دیتا!$F$3,'برنامه فروردین'!$F$5:$F$29,""))&amp;(IF('برنامه فروردین'!$S$5:$S$29=دیتا!$F$7,'برنامه فروردین'!$F$5:$F$29,""))&amp;(IF('برنامه فروردین'!$S$5:$S$29=دیتا!$F$6,'برنامه فروردین'!$F$5:$F$29,"")))</f>
        <v>دکتر محسن</v>
      </c>
      <c r="G23" s="250"/>
      <c r="H23" s="250"/>
      <c r="I23" s="250"/>
      <c r="J23" s="250"/>
      <c r="K23" s="250"/>
      <c r="L23" s="250"/>
      <c r="M23" s="250"/>
      <c r="N23" s="250" t="str" cm="1">
        <f t="array" ref="N23">_xlfn.TEXTJOIN(" , ",TRUE,(IF('برنامه فروردین'!$S$5:$S$29=دیتا!$F$4,'برنامه فروردین'!$F$5:$F$29,""))&amp;(IF('برنامه فروردین'!$S$5:$S$29=دیتا!$F$6,'برنامه فروردین'!$F$5:$F$29,""))&amp;(IF('برنامه فروردین'!$S$5:$S$29=دیتا!$F$8,'برنامه فروردین'!$F$5:$F$29,"")))</f>
        <v>دکتر علی</v>
      </c>
      <c r="O23" s="250"/>
      <c r="P23" s="250"/>
      <c r="Q23" s="250"/>
      <c r="R23" s="250"/>
      <c r="S23" s="250"/>
      <c r="T23" s="250"/>
      <c r="U23" s="250"/>
      <c r="V23" s="250" t="str" cm="1">
        <f t="array" ref="V23">_xlfn.TEXTJOIN(" , ",TRUE,(IF('برنامه فروردین'!$S$5:$S$29=دیتا!$F$5,'برنامه فروردین'!$F$5:$F$29,""))&amp;(IF('برنامه فروردین'!$S$5:$S$29=دیتا!$F$7,'برنامه فروردین'!$F$5:$F$29,""))&amp;(IF('برنامه فروردین'!$S$5:$S$29=دیتا!$F$8,'برنامه فروردین'!$F$5:$F$29,"")))</f>
        <v>دکتر صبا</v>
      </c>
      <c r="W23" s="250"/>
      <c r="X23" s="250"/>
      <c r="Y23" s="250"/>
      <c r="Z23" s="250"/>
      <c r="AA23" s="250"/>
      <c r="AB23" s="250"/>
      <c r="AC23" s="252"/>
      <c r="AD23" s="62"/>
      <c r="AE23" s="62"/>
    </row>
    <row r="24" spans="1:31" ht="39.9" customHeight="1">
      <c r="A24" s="62"/>
      <c r="B24" s="62"/>
      <c r="C24" s="255" t="str">
        <f t="shared" si="0"/>
        <v>سه شنبه</v>
      </c>
      <c r="D24" s="256"/>
      <c r="E24" s="68">
        <v>14</v>
      </c>
      <c r="F24" s="250" t="str" cm="1">
        <f t="array" ref="F24">_xlfn.TEXTJOIN(" , ",TRUE,(IF('برنامه فروردین'!$T$5:$T$29=دیتا!$F$3,'برنامه فروردین'!$F$5:$F$29,""))&amp;(IF('برنامه فروردین'!$T$5:$T$29=دیتا!$F$7,'برنامه فروردین'!$F$5:$F$29,""))&amp;(IF('برنامه فروردین'!$T$5:$T$29=دیتا!$F$6,'برنامه فروردین'!$F$5:$F$29,"")))</f>
        <v>دکتر علی</v>
      </c>
      <c r="G24" s="250"/>
      <c r="H24" s="250"/>
      <c r="I24" s="250"/>
      <c r="J24" s="250"/>
      <c r="K24" s="250"/>
      <c r="L24" s="250"/>
      <c r="M24" s="250"/>
      <c r="N24" s="250" t="str" cm="1">
        <f t="array" ref="N24">_xlfn.TEXTJOIN(" , ",TRUE,(IF('برنامه فروردین'!$T$5:$T$29=دیتا!$F$4,'برنامه فروردین'!$F$5:$F$29,""))&amp;(IF('برنامه فروردین'!$T$5:$T$29=دیتا!$F$6,'برنامه فروردین'!$F$5:$F$29,""))&amp;(IF('برنامه فروردین'!$T$5:$T$29=دیتا!$F$8,'برنامه فروردین'!$F$5:$F$29,"")))</f>
        <v/>
      </c>
      <c r="O24" s="250"/>
      <c r="P24" s="250"/>
      <c r="Q24" s="250"/>
      <c r="R24" s="250"/>
      <c r="S24" s="250"/>
      <c r="T24" s="250"/>
      <c r="U24" s="250"/>
      <c r="V24" s="250" t="str" cm="1">
        <f t="array" ref="V24">_xlfn.TEXTJOIN(" , ",TRUE,(IF('برنامه فروردین'!$T$5:$T$29=دیتا!$F$5,'برنامه فروردین'!$F$5:$F$29,""))&amp;(IF('برنامه فروردین'!$T$5:$T$29=دیتا!$F$7,'برنامه فروردین'!$F$5:$F$29,""))&amp;(IF('برنامه فروردین'!$T$5:$T$29=دیتا!$F$8,'برنامه فروردین'!$F$5:$F$29,"")))</f>
        <v>دکتر خالد</v>
      </c>
      <c r="W24" s="250"/>
      <c r="X24" s="250"/>
      <c r="Y24" s="250"/>
      <c r="Z24" s="250"/>
      <c r="AA24" s="250"/>
      <c r="AB24" s="250"/>
      <c r="AC24" s="252"/>
      <c r="AD24" s="62"/>
      <c r="AE24" s="62"/>
    </row>
    <row r="25" spans="1:31" ht="39.9" customHeight="1">
      <c r="A25" s="62"/>
      <c r="B25" s="62"/>
      <c r="C25" s="255" t="str">
        <f t="shared" si="0"/>
        <v>چهار شنبه</v>
      </c>
      <c r="D25" s="256"/>
      <c r="E25" s="68">
        <v>15</v>
      </c>
      <c r="F25" s="250" t="str" cm="1">
        <f t="array" ref="F25">_xlfn.TEXTJOIN(" , ",TRUE,(IF('برنامه فروردین'!$U$5:$U$29=دیتا!$F$3,'برنامه فروردین'!$F$5:$F$29,""))&amp;(IF('برنامه فروردین'!$U$5:$U$29=دیتا!$F$7,'برنامه فروردین'!$F$5:$F$29,""))&amp;(IF('برنامه فروردین'!$U$5:$U$29=دیتا!$F$6,'برنامه فروردین'!$F$5:$F$29,"")))</f>
        <v>دکتر صبا</v>
      </c>
      <c r="G25" s="250"/>
      <c r="H25" s="250"/>
      <c r="I25" s="250"/>
      <c r="J25" s="250"/>
      <c r="K25" s="250"/>
      <c r="L25" s="250"/>
      <c r="M25" s="250"/>
      <c r="N25" s="250" t="str" cm="1">
        <f t="array" ref="N25">_xlfn.TEXTJOIN(" , ",TRUE,(IF('برنامه فروردین'!$U$5:$U$29=دیتا!$F$4,'برنامه فروردین'!$F$5:$F$29,""))&amp;(IF('برنامه فروردین'!$U$5:$U$29=دیتا!$F$6,'برنامه فروردین'!$F$5:$F$29,"")&amp;(IF('برنامه فروردین'!$U$5:$U$29=دیتا!$F$8,'برنامه فروردین'!$F$5:$F$29,""))))</f>
        <v/>
      </c>
      <c r="O25" s="250"/>
      <c r="P25" s="250"/>
      <c r="Q25" s="250"/>
      <c r="R25" s="250"/>
      <c r="S25" s="250"/>
      <c r="T25" s="250"/>
      <c r="U25" s="250"/>
      <c r="V25" s="250" t="str" cm="1">
        <f t="array" ref="V25">_xlfn.TEXTJOIN(" , ",TRUE,(IF('برنامه فروردین'!$U$5:$U$29=دیتا!$F$5,'برنامه فروردین'!$F$5:$F$29,""))&amp;(IF('برنامه فروردین'!$U$5:$U$29=دیتا!$F$7,'برنامه فروردین'!$F$5:$F$29,""))&amp;(IF('برنامه فروردین'!$U$5:$U$29=دیتا!$F$8,'برنامه فروردین'!$F$5:$F$29,"")))</f>
        <v>دکتر خالد</v>
      </c>
      <c r="W25" s="250"/>
      <c r="X25" s="250"/>
      <c r="Y25" s="250"/>
      <c r="Z25" s="250"/>
      <c r="AA25" s="250"/>
      <c r="AB25" s="250"/>
      <c r="AC25" s="252"/>
      <c r="AD25" s="62"/>
      <c r="AE25" s="62"/>
    </row>
    <row r="26" spans="1:31" ht="39.9" customHeight="1">
      <c r="A26" s="62"/>
      <c r="B26" s="62"/>
      <c r="C26" s="255" t="str">
        <f t="shared" si="0"/>
        <v>پنج شنبه</v>
      </c>
      <c r="D26" s="256"/>
      <c r="E26" s="68">
        <v>16</v>
      </c>
      <c r="F26" s="250" t="str" cm="1">
        <f t="array" ref="F26">_xlfn.TEXTJOIN(" , ",TRUE,(IF('برنامه فروردین'!$V$5:$V$29=دیتا!$F$3,'برنامه فروردین'!$F$5:$F$29,""))&amp;(IF('برنامه فروردین'!$V$5:$V$29=دیتا!$F$7,'برنامه فروردین'!$F$5:$F$29,""))&amp;(IF('برنامه فروردین'!$V$5:$V$29=دیتا!$F$6,'برنامه فروردین'!$F$5:$F$29,"")))</f>
        <v>دکتر علی</v>
      </c>
      <c r="G26" s="250"/>
      <c r="H26" s="250"/>
      <c r="I26" s="250"/>
      <c r="J26" s="250"/>
      <c r="K26" s="250"/>
      <c r="L26" s="250"/>
      <c r="M26" s="250"/>
      <c r="N26" s="250" t="str" cm="1">
        <f t="array" ref="N26">_xlfn.TEXTJOIN(" , ",TRUE,(IF('برنامه فروردین'!$V$5:$V$29=دیتا!$F$4,'برنامه فروردین'!$F$5:$F$29,""))&amp;(IF('برنامه فروردین'!$V$5:$V$29=دیتا!$F$6,'برنامه فروردین'!$F$5:$F$29,""))&amp;(IF('برنامه فروردین'!$V$5:$V$29=دیتا!$F$8,'برنامه فروردین'!$F$5:$F$29,"")))</f>
        <v/>
      </c>
      <c r="O26" s="250"/>
      <c r="P26" s="250"/>
      <c r="Q26" s="250"/>
      <c r="R26" s="250"/>
      <c r="S26" s="250"/>
      <c r="T26" s="250"/>
      <c r="U26" s="250"/>
      <c r="V26" s="250" t="str" cm="1">
        <f t="array" ref="V26">_xlfn.TEXTJOIN(" , ",TRUE,(IF('برنامه فروردین'!$V$5:$V$29=دیتا!$F$5,'برنامه فروردین'!$F$5:$F$29,""))&amp;(IF('برنامه فروردین'!$V$5:$V$29=دیتا!$F$7,'برنامه فروردین'!$F$5:$F$29,""))&amp;(IF('برنامه فروردین'!$V$5:$V$29=دیتا!$F$8,'برنامه فروردین'!$F$5:$F$29,"")))</f>
        <v/>
      </c>
      <c r="W26" s="250"/>
      <c r="X26" s="250"/>
      <c r="Y26" s="250"/>
      <c r="Z26" s="250"/>
      <c r="AA26" s="250"/>
      <c r="AB26" s="250"/>
      <c r="AC26" s="252"/>
      <c r="AD26" s="62"/>
      <c r="AE26" s="62"/>
    </row>
    <row r="27" spans="1:31" ht="39.9" customHeight="1">
      <c r="A27" s="62"/>
      <c r="B27" s="62"/>
      <c r="C27" s="255" t="str">
        <f t="shared" si="0"/>
        <v>جمعه</v>
      </c>
      <c r="D27" s="256"/>
      <c r="E27" s="68">
        <v>17</v>
      </c>
      <c r="F27" s="250" t="str" cm="1">
        <f t="array" ref="F27">_xlfn.TEXTJOIN(" , ",TRUE,(IF('برنامه فروردین'!$W$5:$W$29=دیتا!$F$3,'برنامه فروردین'!$F$5:$F$29,""))&amp;(IF('برنامه فروردین'!$W$5:$W$29=دیتا!$F$7,'برنامه فروردین'!$F$5:$F$29,""))&amp;(IF('برنامه فروردین'!$W$5:$W$29=دیتا!$F$6,'برنامه فروردین'!$F$5:$F$29,"")))</f>
        <v>دکتر خالد</v>
      </c>
      <c r="G27" s="250"/>
      <c r="H27" s="250"/>
      <c r="I27" s="250"/>
      <c r="J27" s="250"/>
      <c r="K27" s="250"/>
      <c r="L27" s="250"/>
      <c r="M27" s="250"/>
      <c r="N27" s="250" t="str" cm="1">
        <f t="array" ref="N27">_xlfn.TEXTJOIN(" , ",TRUE,(IF('برنامه فروردین'!$W$5:$W$29=دیتا!$F$4,'برنامه فروردین'!$F$5:$F$29,""))&amp;(IF('برنامه فروردین'!$W$5:$W$29=دیتا!$F$6,'برنامه فروردین'!$F$5:$F$29,""))&amp;(IF('برنامه فروردین'!$W$5:$W$29=دیتا!$F$8,'برنامه فروردین'!$F$5:$F$29,"")))</f>
        <v/>
      </c>
      <c r="O27" s="250"/>
      <c r="P27" s="250"/>
      <c r="Q27" s="250"/>
      <c r="R27" s="250"/>
      <c r="S27" s="250"/>
      <c r="T27" s="250"/>
      <c r="U27" s="250"/>
      <c r="V27" s="250" t="str" cm="1">
        <f t="array" ref="V27">_xlfn.TEXTJOIN(" , ",TRUE,(IF('برنامه فروردین'!$W$5:$W$29=دیتا!$F$5,'برنامه فروردین'!$F$5:$F$29,""))&amp;(IF('برنامه فروردین'!$W$5:$W$29=دیتا!$F$7,'برنامه فروردین'!$F$5:$F$29,""))&amp;(IF('برنامه فروردین'!$W$5:$W$29=دیتا!$F$8,'برنامه فروردین'!$F$5:$F$29,"")))</f>
        <v>دکتر علی</v>
      </c>
      <c r="W27" s="250"/>
      <c r="X27" s="250"/>
      <c r="Y27" s="250"/>
      <c r="Z27" s="250"/>
      <c r="AA27" s="250"/>
      <c r="AB27" s="250"/>
      <c r="AC27" s="252"/>
      <c r="AD27" s="62"/>
      <c r="AE27" s="62"/>
    </row>
    <row r="28" spans="1:31" ht="39.9" customHeight="1">
      <c r="A28" s="62"/>
      <c r="B28" s="62"/>
      <c r="C28" s="255" t="str">
        <f t="shared" si="0"/>
        <v>شنبه</v>
      </c>
      <c r="D28" s="256"/>
      <c r="E28" s="68">
        <v>18</v>
      </c>
      <c r="F28" s="250" t="str" cm="1">
        <f t="array" ref="F28">_xlfn.TEXTJOIN(" , ",TRUE,(IF('برنامه فروردین'!$X$5:$X$29=دیتا!$F$3,'برنامه فروردین'!$F$5:$F$29,""))&amp;(IF('برنامه فروردین'!$X$5:$X$29=دیتا!$F$7,'برنامه فروردین'!$F$5:$F$29,""))&amp;(IF('برنامه فروردین'!$X$5:$X$29=دیتا!$F$6,'برنامه فروردین'!$F$5:$F$29,"")))</f>
        <v/>
      </c>
      <c r="G28" s="250"/>
      <c r="H28" s="250"/>
      <c r="I28" s="250"/>
      <c r="J28" s="250"/>
      <c r="K28" s="250"/>
      <c r="L28" s="250"/>
      <c r="M28" s="250"/>
      <c r="N28" s="250" t="str" cm="1">
        <f t="array" ref="N28">_xlfn.TEXTJOIN(" , ",TRUE,(IF('برنامه فروردین'!$X$5:$X$29=دیتا!$F$4,'برنامه فروردین'!$F$5:$F$29,""))&amp;(IF('برنامه فروردین'!$X$5:$X$29=دیتا!$F$6,'برنامه فروردین'!$F$5:$F$29,""))&amp;(IF('برنامه فروردین'!$X$5:$X$29=دیتا!$F$8,'برنامه فروردین'!$F$5:$F$29,"")))</f>
        <v>دکتر علی</v>
      </c>
      <c r="O28" s="250"/>
      <c r="P28" s="250"/>
      <c r="Q28" s="250"/>
      <c r="R28" s="250"/>
      <c r="S28" s="250"/>
      <c r="T28" s="250"/>
      <c r="U28" s="250"/>
      <c r="V28" s="250" t="str" cm="1">
        <f t="array" ref="V28">_xlfn.TEXTJOIN(" , ",TRUE,(IF('برنامه فروردین'!$X$5:$X$29=دیتا!$F$5,'برنامه فروردین'!$F$5:$F$29,""))&amp;(IF('برنامه فروردین'!$X$5:$X$29=دیتا!$F$7,'برنامه فروردین'!$F$5:$F$29,""))&amp;(IF('برنامه فروردین'!$X$5:$X$29=دیتا!$F$8,'برنامه فروردین'!$F$5:$F$29,"")))</f>
        <v>دکتر خالد</v>
      </c>
      <c r="W28" s="250"/>
      <c r="X28" s="250"/>
      <c r="Y28" s="250"/>
      <c r="Z28" s="250"/>
      <c r="AA28" s="250"/>
      <c r="AB28" s="250"/>
      <c r="AC28" s="252"/>
      <c r="AD28" s="62"/>
      <c r="AE28" s="62"/>
    </row>
    <row r="29" spans="1:31" ht="39.9" customHeight="1">
      <c r="A29" s="62"/>
      <c r="B29" s="62"/>
      <c r="C29" s="255" t="str">
        <f t="shared" si="0"/>
        <v>یکشنبه</v>
      </c>
      <c r="D29" s="256"/>
      <c r="E29" s="68">
        <v>19</v>
      </c>
      <c r="F29" s="250" t="str" cm="1">
        <f t="array" ref="F29">_xlfn.TEXTJOIN(" , ",TRUE,(IF('برنامه فروردین'!$Y$5:$Y$29=دیتا!$F$3,'برنامه فروردین'!$F$5:$F$29,""))&amp;(IF('برنامه فروردین'!$Y$5:$Y$29=دیتا!$F$7,'برنامه فروردین'!$F$5:$F$29,""))&amp;(IF('برنامه فروردین'!$Y$5:$Y$29=دیتا!$F$6,'برنامه فروردین'!$F$5:$F$29,"")))</f>
        <v>دکتر صبا</v>
      </c>
      <c r="G29" s="250"/>
      <c r="H29" s="250"/>
      <c r="I29" s="250"/>
      <c r="J29" s="250"/>
      <c r="K29" s="250"/>
      <c r="L29" s="250"/>
      <c r="M29" s="250"/>
      <c r="N29" s="250" t="str" cm="1">
        <f t="array" ref="N29">_xlfn.TEXTJOIN(" , ",TRUE,(IF('برنامه فروردین'!$Y$5:$Y$29=دیتا!$F$4,'برنامه فروردین'!$F$5:$F$29,""))&amp;(IF('برنامه فروردین'!$Y$5:$Y$29=دیتا!$F$6,'برنامه فروردین'!$F$5:$F$29,""))&amp;(IF('برنامه فروردین'!$Y$5:$Y$29=دیتا!$F$8,'برنامه فروردین'!$F$5:$F$29,"")))</f>
        <v>دکتر خالد</v>
      </c>
      <c r="O29" s="250"/>
      <c r="P29" s="250"/>
      <c r="Q29" s="250"/>
      <c r="R29" s="250"/>
      <c r="S29" s="250"/>
      <c r="T29" s="250"/>
      <c r="U29" s="250"/>
      <c r="V29" s="250" t="str" cm="1">
        <f t="array" ref="V29">_xlfn.TEXTJOIN(" , ",TRUE,(IF('برنامه فروردین'!$Y$5:$Y$29=دیتا!$F$5,'برنامه فروردین'!$F$5:$F$29,""))&amp;(IF('برنامه فروردین'!$Y$5:$Y$29=دیتا!$F$7,'برنامه فروردین'!$F$5:$F$29,""))&amp;(IF('برنامه فروردین'!$Y$5:$Y$29=دیتا!$F$8,'برنامه فروردین'!$F$5:$F$29,"")))</f>
        <v>دکتر صبا</v>
      </c>
      <c r="W29" s="250"/>
      <c r="X29" s="250"/>
      <c r="Y29" s="250"/>
      <c r="Z29" s="250"/>
      <c r="AA29" s="250"/>
      <c r="AB29" s="250"/>
      <c r="AC29" s="252"/>
      <c r="AD29" s="62"/>
      <c r="AE29" s="62"/>
    </row>
    <row r="30" spans="1:31" ht="39.9" customHeight="1">
      <c r="A30" s="62"/>
      <c r="B30" s="62"/>
      <c r="C30" s="255" t="str">
        <f t="shared" si="0"/>
        <v>دوشنبه</v>
      </c>
      <c r="D30" s="256"/>
      <c r="E30" s="68">
        <v>20</v>
      </c>
      <c r="F30" s="250" t="str" cm="1">
        <f t="array" ref="F30">_xlfn.TEXTJOIN(" , ",TRUE,(IF('برنامه فروردین'!$Z$5:$Z$29=دیتا!$F$3,'برنامه فروردین'!$F$5:$F$29,""))&amp;(IF('برنامه فروردین'!$Z$5:$Z$29=دیتا!$F$7,'برنامه فروردین'!$F$5:$F$29,""))&amp;(IF('برنامه فروردین'!$Z$5:$Z$29=دیتا!$F$6,'برنامه فروردین'!$F$5:$F$29,"")))</f>
        <v>دکتر خالد</v>
      </c>
      <c r="G30" s="250"/>
      <c r="H30" s="250"/>
      <c r="I30" s="250"/>
      <c r="J30" s="250"/>
      <c r="K30" s="250"/>
      <c r="L30" s="250"/>
      <c r="M30" s="250"/>
      <c r="N30" s="250" t="str" cm="1">
        <f t="array" ref="N30">_xlfn.TEXTJOIN(" , ",TRUE,(IF('برنامه فروردین'!$Z$5:$Z$29=دیتا!$F$4,'برنامه فروردین'!$F$5:$F$29,""))&amp;(IF('برنامه فروردین'!$Z$5:$Z$29=دیتا!$F$6,'برنامه فروردین'!$F$5:$F$29,""))&amp;(IF('برنامه فروردین'!$Z$5:$Z$29=دیتا!$F$8,'برنامه فروردین'!$F$5:$F$29,"")))</f>
        <v>دکتر محسن</v>
      </c>
      <c r="O30" s="250"/>
      <c r="P30" s="250"/>
      <c r="Q30" s="250"/>
      <c r="R30" s="250"/>
      <c r="S30" s="250"/>
      <c r="T30" s="250"/>
      <c r="U30" s="250"/>
      <c r="V30" s="250" t="str" cm="1">
        <f t="array" ref="V30">_xlfn.TEXTJOIN(" , ",TRUE,(IF('برنامه فروردین'!$Z$5:$Z$29=دیتا!$F$5,'برنامه فروردین'!$F$5:$F$29,""))&amp;(IF('برنامه فروردین'!$Z$5:$Z$29=دیتا!$F$7,'برنامه فروردین'!$F$5:$F$29,""))&amp;(IF('برنامه فروردین'!$Z$5:$Z$29=دیتا!$F$8,'برنامه فروردین'!$F$5:$F$29,"")))</f>
        <v>دکتر علی</v>
      </c>
      <c r="W30" s="250"/>
      <c r="X30" s="250"/>
      <c r="Y30" s="250"/>
      <c r="Z30" s="250"/>
      <c r="AA30" s="250"/>
      <c r="AB30" s="250"/>
      <c r="AC30" s="252"/>
      <c r="AD30" s="62"/>
      <c r="AE30" s="62"/>
    </row>
    <row r="31" spans="1:31" ht="39.9" customHeight="1">
      <c r="A31" s="62"/>
      <c r="B31" s="62"/>
      <c r="C31" s="255" t="str">
        <f t="shared" si="0"/>
        <v>سه شنبه</v>
      </c>
      <c r="D31" s="256"/>
      <c r="E31" s="68">
        <v>21</v>
      </c>
      <c r="F31" s="250" t="str" cm="1">
        <f t="array" ref="F31">_xlfn.TEXTJOIN(" , ",TRUE,(IF('برنامه فروردین'!$AA$5:$AA$29=دیتا!$F$3,'برنامه فروردین'!$F$5:$F$29,""))&amp;(IF('برنامه فروردین'!$AA$5:$AA$29=دیتا!$F$7,'برنامه فروردین'!$F$5:$F$29,""))&amp;(IF('برنامه فروردین'!$AA$5:$AA$29=دیتا!$F$6,'برنامه فروردین'!$F$5:$F$29,"")))</f>
        <v>دکتر خالد</v>
      </c>
      <c r="G31" s="250"/>
      <c r="H31" s="250"/>
      <c r="I31" s="250"/>
      <c r="J31" s="250"/>
      <c r="K31" s="250"/>
      <c r="L31" s="250"/>
      <c r="M31" s="250"/>
      <c r="N31" s="250" t="str" cm="1">
        <f t="array" ref="N31">_xlfn.TEXTJOIN(" , ",TRUE,(IF('برنامه فروردین'!$AA$5:$AA$29=دیتا!$F$4,'برنامه فروردین'!$F$5:$F$29,""))&amp;(IF('برنامه فروردین'!$AA$5:$AA$29=دیتا!$F$6,'برنامه فروردین'!$F$5:$F$29,""))&amp;(IF('برنامه فروردین'!$AA$5:$AA$29=دیتا!$F$8,'برنامه فروردین'!$F$5:$F$29,"")))</f>
        <v>دکتر علی</v>
      </c>
      <c r="O31" s="250"/>
      <c r="P31" s="250"/>
      <c r="Q31" s="250"/>
      <c r="R31" s="250"/>
      <c r="S31" s="250"/>
      <c r="T31" s="250"/>
      <c r="U31" s="250"/>
      <c r="V31" s="250" t="str" cm="1">
        <f t="array" ref="V31">_xlfn.TEXTJOIN(" , ",TRUE,(IF('برنامه فروردین'!$AA$5:$AA$29=دیتا!$F$5,'برنامه فروردین'!$F$5:$F$29,""))&amp;(IF('برنامه فروردین'!$AA$5:$AA$29=دیتا!$F$7,'برنامه فروردین'!$F$5:$F$29,""))&amp;(IF('برنامه فروردین'!$AA$5:$AA$29=دیتا!$F$8,'برنامه فروردین'!$F$5:$F$29,"")))</f>
        <v>دکتر صبا</v>
      </c>
      <c r="W31" s="250"/>
      <c r="X31" s="250"/>
      <c r="Y31" s="250"/>
      <c r="Z31" s="250"/>
      <c r="AA31" s="250"/>
      <c r="AB31" s="250"/>
      <c r="AC31" s="252"/>
      <c r="AD31" s="62"/>
      <c r="AE31" s="62"/>
    </row>
    <row r="32" spans="1:31" ht="39.9" customHeight="1">
      <c r="A32" s="62"/>
      <c r="B32" s="62"/>
      <c r="C32" s="255" t="str">
        <f t="shared" si="0"/>
        <v>چهار شنبه</v>
      </c>
      <c r="D32" s="256"/>
      <c r="E32" s="68">
        <v>22</v>
      </c>
      <c r="F32" s="250" t="str" cm="1">
        <f t="array" ref="F32">_xlfn.TEXTJOIN(" , ",TRUE,(IF('برنامه فروردین'!$AB$5:$AB$29=دیتا!$F$3,'برنامه فروردین'!$F$5:$F$29,""))&amp;(IF('برنامه فروردین'!$AB$5:$AB$29=دیتا!$F$7,'برنامه فروردین'!$F$5:$F$29,""))&amp;(IF('برنامه فروردین'!$AB$5:$AB$29=دیتا!$F$6,'برنامه فروردین'!$F$5:$F$29,"")))</f>
        <v/>
      </c>
      <c r="G32" s="250"/>
      <c r="H32" s="250"/>
      <c r="I32" s="250"/>
      <c r="J32" s="250"/>
      <c r="K32" s="250"/>
      <c r="L32" s="250"/>
      <c r="M32" s="250"/>
      <c r="N32" s="250" t="str" cm="1">
        <f t="array" ref="N32">_xlfn.TEXTJOIN(" , ",TRUE,(IF('برنامه فروردین'!$AB$5:$AB$29=دیتا!$F$4,'برنامه فروردین'!$F$5:$F$29,""))&amp;(IF('برنامه فروردین'!$AB$5:$AB$29=دیتا!$F$6,'برنامه فروردین'!$F$5:$F$29,""))&amp;(IF('برنامه فروردین'!$AB$5:$AB$29=دیتا!$F$8,'برنامه فروردین'!$F$5:$F$29,"")))</f>
        <v/>
      </c>
      <c r="O32" s="250"/>
      <c r="P32" s="250"/>
      <c r="Q32" s="250"/>
      <c r="R32" s="250"/>
      <c r="S32" s="250"/>
      <c r="T32" s="250"/>
      <c r="U32" s="250"/>
      <c r="V32" s="250" t="str" cm="1">
        <f t="array" ref="V32">_xlfn.TEXTJOIN(" , ",TRUE,(IF('برنامه فروردین'!$AB$5:$AB$29=دیتا!$F$5,'برنامه فروردین'!$F$5:$F$29,""))&amp;(IF('برنامه فروردین'!$AB$5:$AB$29=دیتا!$F$7,'برنامه فروردین'!$F$5:$F$29,""))&amp;(IF('برنامه فروردین'!$AB$5:$AB$29=دیتا!$F$8,'برنامه فروردین'!$F$5:$F$29,"")))</f>
        <v>دکتر محسن</v>
      </c>
      <c r="W32" s="250"/>
      <c r="X32" s="250"/>
      <c r="Y32" s="250"/>
      <c r="Z32" s="250"/>
      <c r="AA32" s="250"/>
      <c r="AB32" s="250"/>
      <c r="AC32" s="252"/>
      <c r="AD32" s="62"/>
      <c r="AE32" s="62"/>
    </row>
    <row r="33" spans="1:31" ht="39.9" customHeight="1">
      <c r="A33" s="62"/>
      <c r="B33" s="62"/>
      <c r="C33" s="255" t="str">
        <f t="shared" si="0"/>
        <v>پنج شنبه</v>
      </c>
      <c r="D33" s="256"/>
      <c r="E33" s="68">
        <v>23</v>
      </c>
      <c r="F33" s="250" t="str" cm="1">
        <f t="array" ref="F33">_xlfn.TEXTJOIN(" , ",TRUE,(IF('برنامه فروردین'!$AC$5:$AC$29=دیتا!$F$3,'برنامه فروردین'!$F$5:$F$29,""))&amp;(IF('برنامه فروردین'!$AC$5:$AC$29=دیتا!$F$7,'برنامه فروردین'!$F$5:$F$29,""))&amp;(IF('برنامه فروردین'!$AC$5:$AC$29=دیتا!$F$6,'برنامه فروردین'!$F$5:$F$29,"")))</f>
        <v>دکتر صبا</v>
      </c>
      <c r="G33" s="250"/>
      <c r="H33" s="250"/>
      <c r="I33" s="250"/>
      <c r="J33" s="250"/>
      <c r="K33" s="250"/>
      <c r="L33" s="250"/>
      <c r="M33" s="250"/>
      <c r="N33" s="250" t="str" cm="1">
        <f t="array" ref="N33">_xlfn.TEXTJOIN(" , ",TRUE,(IF('برنامه فروردین'!$AC$5:$AC$29=دیتا!$F$4,'برنامه فروردین'!$F$5:$F$29,""))&amp;(IF('برنامه فروردین'!$AC$5:$AC$29=دیتا!$F$6,'برنامه فروردین'!$F$5:$F$29,""))&amp;(IF('برنامه فروردین'!$AC$5:$AC$29=دیتا!$F$8,'برنامه فروردین'!$F$5:$F$29,"")))</f>
        <v/>
      </c>
      <c r="O33" s="250"/>
      <c r="P33" s="250"/>
      <c r="Q33" s="250"/>
      <c r="R33" s="250"/>
      <c r="S33" s="250"/>
      <c r="T33" s="250"/>
      <c r="U33" s="250"/>
      <c r="V33" s="250" t="str" cm="1">
        <f t="array" ref="V33">_xlfn.TEXTJOIN(" , ",TRUE,(IF('برنامه فروردین'!$AC$5:$AC$29=دیتا!$F$5,'برنامه فروردین'!$F$5:$F$29,""))&amp;(IF('برنامه فروردین'!$AC$5:$AC$29=دیتا!$F$7,'برنامه فروردین'!$F$5:$F$29,""))&amp;(IF('برنامه فروردین'!$AC$5:$AC$29=دیتا!$F$8,'برنامه فروردین'!$F$5:$F$29,"")))</f>
        <v>دکتر محسن</v>
      </c>
      <c r="W33" s="250"/>
      <c r="X33" s="250"/>
      <c r="Y33" s="250"/>
      <c r="Z33" s="250"/>
      <c r="AA33" s="250"/>
      <c r="AB33" s="250"/>
      <c r="AC33" s="252"/>
      <c r="AD33" s="62"/>
      <c r="AE33" s="62"/>
    </row>
    <row r="34" spans="1:31" ht="39.9" customHeight="1">
      <c r="A34" s="62"/>
      <c r="B34" s="62"/>
      <c r="C34" s="255" t="str">
        <f t="shared" si="0"/>
        <v>جمعه</v>
      </c>
      <c r="D34" s="256"/>
      <c r="E34" s="68">
        <v>24</v>
      </c>
      <c r="F34" s="250" t="str" cm="1">
        <f t="array" ref="F34">_xlfn.TEXTJOIN(" , ",TRUE,(IF('برنامه فروردین'!$AD$5:$AD$29=دیتا!$F$3,'برنامه فروردین'!$F$5:$F$29,""))&amp;(IF('برنامه فروردین'!$AD$5:$AD$29=دیتا!$F$7,'برنامه فروردین'!$F$5:$F$29,""))&amp;(IF('برنامه فروردین'!$AD$5:$AD$29=دیتا!$F$6,'برنامه فروردین'!$F$5:$F$29,"")))</f>
        <v/>
      </c>
      <c r="G34" s="250"/>
      <c r="H34" s="250"/>
      <c r="I34" s="250"/>
      <c r="J34" s="250"/>
      <c r="K34" s="250"/>
      <c r="L34" s="250"/>
      <c r="M34" s="250"/>
      <c r="N34" s="250" t="str" cm="1">
        <f t="array" ref="N34">_xlfn.TEXTJOIN(" , ",TRUE,(IF('برنامه فروردین'!$AD$5:$AD$29=دیتا!$F$4,'برنامه فروردین'!$F$5:$F$29,""))&amp;(IF('برنامه فروردین'!$AD$5:$AD$29=دیتا!$F$6,'برنامه فروردین'!$F$5:$F$29,""))&amp;(IF('برنامه فروردین'!$AD$5:$AD$29=دیتا!$F$8,'برنامه فروردین'!$F$5:$F$29,"")))</f>
        <v/>
      </c>
      <c r="O34" s="250"/>
      <c r="P34" s="250"/>
      <c r="Q34" s="250"/>
      <c r="R34" s="250"/>
      <c r="S34" s="250"/>
      <c r="T34" s="250"/>
      <c r="U34" s="250"/>
      <c r="V34" s="250" t="str" cm="1">
        <f t="array" ref="V34">_xlfn.TEXTJOIN(" , ",TRUE,(IF('برنامه فروردین'!$AD$5:$AD$29=دیتا!$F$5,'برنامه فروردین'!$F$5:$F$29,""))&amp;(IF('برنامه فروردین'!$AD$5:$AD$29=دیتا!$F$7,'برنامه فروردین'!$F$5:$F$29,""))&amp;(IF('برنامه فروردین'!$AD$5:$AD$29=دیتا!$F$8,'برنامه فروردین'!$F$5:$F$29,"")))</f>
        <v>دکتر صبا</v>
      </c>
      <c r="W34" s="250"/>
      <c r="X34" s="250"/>
      <c r="Y34" s="250"/>
      <c r="Z34" s="250"/>
      <c r="AA34" s="250"/>
      <c r="AB34" s="250"/>
      <c r="AC34" s="252"/>
      <c r="AD34" s="62"/>
      <c r="AE34" s="62"/>
    </row>
    <row r="35" spans="1:31" ht="39.9" customHeight="1">
      <c r="A35" s="62"/>
      <c r="B35" s="62"/>
      <c r="C35" s="255" t="str">
        <f t="shared" si="0"/>
        <v>شنبه</v>
      </c>
      <c r="D35" s="256"/>
      <c r="E35" s="68">
        <v>25</v>
      </c>
      <c r="F35" s="250" t="str" cm="1">
        <f t="array" ref="F35">_xlfn.TEXTJOIN(" , ",TRUE,(IF('برنامه فروردین'!$AE$5:$AE$29=دیتا!$F$3,'برنامه فروردین'!$F$5:$F$29,""))&amp;(IF('برنامه فروردین'!$AE$5:$AE$29=دیتا!$F$7,'برنامه فروردین'!$F$5:$F$29,""))&amp;(IF('برنامه فروردین'!$AE$5:$AE$29=دیتا!$F$6,'برنامه فروردین'!$F$5:$F$29,"")))</f>
        <v>دکتر محسن</v>
      </c>
      <c r="G35" s="250"/>
      <c r="H35" s="250"/>
      <c r="I35" s="250"/>
      <c r="J35" s="250"/>
      <c r="K35" s="250"/>
      <c r="L35" s="250"/>
      <c r="M35" s="250"/>
      <c r="N35" s="250" t="str" cm="1">
        <f t="array" ref="N35">_xlfn.TEXTJOIN(" , ",TRUE,(IF('برنامه فروردین'!$AE$5:$AE$29=دیتا!$F$4,'برنامه فروردین'!$F$5:$F$29,""))&amp;(IF('برنامه فروردین'!$AE$5:$AE$29=دیتا!$F$6,'برنامه فروردین'!$F$5:$F$29,""))&amp;(IF('برنامه فروردین'!$AE$5:$AE$29=دیتا!$F$8,'برنامه فروردین'!$F$5:$F$29,"")))</f>
        <v/>
      </c>
      <c r="O35" s="250"/>
      <c r="P35" s="250"/>
      <c r="Q35" s="250"/>
      <c r="R35" s="250"/>
      <c r="S35" s="250"/>
      <c r="T35" s="250"/>
      <c r="U35" s="250"/>
      <c r="V35" s="250" t="str" cm="1">
        <f t="array" ref="V35">_xlfn.TEXTJOIN(" , ",TRUE,(IF('برنامه فروردین'!$AE$5:$AE$29=دیتا!$F$5,'برنامه فروردین'!$F$5:$F$29,""))&amp;(IF('برنامه فروردین'!$AE$5:$AE$29=دیتا!$F$7,'برنامه فروردین'!$F$5:$F$29,""))&amp;(IF('برنامه فروردین'!$AE$5:$AE$29=دیتا!$F$8,'برنامه فروردین'!$F$5:$F$29,"")))</f>
        <v>دکتر محسن</v>
      </c>
      <c r="W35" s="250"/>
      <c r="X35" s="250"/>
      <c r="Y35" s="250"/>
      <c r="Z35" s="250"/>
      <c r="AA35" s="250"/>
      <c r="AB35" s="250"/>
      <c r="AC35" s="252"/>
      <c r="AD35" s="62"/>
      <c r="AE35" s="62"/>
    </row>
    <row r="36" spans="1:31" ht="39.9" customHeight="1">
      <c r="A36" s="62"/>
      <c r="B36" s="62"/>
      <c r="C36" s="255" t="str">
        <f t="shared" si="0"/>
        <v>یکشنبه</v>
      </c>
      <c r="D36" s="256"/>
      <c r="E36" s="68">
        <v>26</v>
      </c>
      <c r="F36" s="250" t="str" cm="1">
        <f t="array" ref="F36">_xlfn.TEXTJOIN(" , ",TRUE,(IF('برنامه فروردین'!$AF$5:$AF$29=دیتا!$F$3,'برنامه فروردین'!$F$5:$F$29,""))&amp;(IF('برنامه فروردین'!$AF$5:$AF$29=دیتا!$F$7,'برنامه فروردین'!$F$5:$F$29,""))&amp;(IF('برنامه فروردین'!$AF$5:$AF$29=دیتا!$F$6,'برنامه فروردین'!$F$5:$F$29,"")))</f>
        <v>دکتر صبا</v>
      </c>
      <c r="G36" s="250"/>
      <c r="H36" s="250"/>
      <c r="I36" s="250"/>
      <c r="J36" s="250"/>
      <c r="K36" s="250"/>
      <c r="L36" s="250"/>
      <c r="M36" s="250"/>
      <c r="N36" s="250" t="str" cm="1">
        <f t="array" ref="N36">_xlfn.TEXTJOIN(" , ",TRUE,(IF('برنامه فروردین'!$AF$5:$AF$29=دیتا!$F$4,'برنامه فروردین'!$F$5:$F$29,""))&amp;(IF('برنامه فروردین'!$AF$5:$AF$29=دیتا!$F$6,'برنامه فروردین'!$F$5:$F$29,""))&amp;(IF('برنامه فروردین'!$AF$5:$AF$29=دیتا!$F$8,'برنامه فروردین'!$F$5:$F$29,"")))</f>
        <v>دکتر محسن</v>
      </c>
      <c r="O36" s="250"/>
      <c r="P36" s="250"/>
      <c r="Q36" s="250"/>
      <c r="R36" s="250"/>
      <c r="S36" s="250"/>
      <c r="T36" s="250"/>
      <c r="U36" s="250"/>
      <c r="V36" s="250" t="str" cm="1">
        <f t="array" ref="V36">_xlfn.TEXTJOIN(" , ",TRUE,(IF('برنامه فروردین'!$AF$5:$AF$29=دیتا!$F$5,'برنامه فروردین'!$F$5:$F$29,""))&amp;(IF('برنامه فروردین'!$AF$5:$AF$29=دیتا!$F$7,'برنامه فروردین'!$F$5:$F$29,""))&amp;(IF('برنامه فروردین'!$AF$5:$AF$29=دیتا!$F$8,'برنامه فروردین'!$F$5:$F$29,"")))</f>
        <v>دکتر علی</v>
      </c>
      <c r="W36" s="250"/>
      <c r="X36" s="250"/>
      <c r="Y36" s="250"/>
      <c r="Z36" s="250"/>
      <c r="AA36" s="250"/>
      <c r="AB36" s="250"/>
      <c r="AC36" s="252"/>
      <c r="AD36" s="62"/>
      <c r="AE36" s="62"/>
    </row>
    <row r="37" spans="1:31" ht="39.9" customHeight="1">
      <c r="A37" s="62"/>
      <c r="B37" s="62"/>
      <c r="C37" s="255" t="str">
        <f t="shared" si="0"/>
        <v>دوشنبه</v>
      </c>
      <c r="D37" s="256"/>
      <c r="E37" s="68">
        <v>27</v>
      </c>
      <c r="F37" s="250" t="str" cm="1">
        <f t="array" ref="F37">_xlfn.TEXTJOIN(" , ",TRUE,(IF('برنامه فروردین'!$AG$5:$AG$29=دیتا!$F$3,'برنامه فروردین'!$F$5:$F$29,""))&amp;(IF('برنامه فروردین'!$AG$5:$AG$29=دیتا!$F$7,'برنامه فروردین'!$F$5:$F$29,""))&amp;(IF('برنامه فروردین'!$AG$5:$AG$29=دیتا!$F$6,'برنامه فروردین'!$F$5:$F$29,"")))</f>
        <v/>
      </c>
      <c r="G37" s="250"/>
      <c r="H37" s="250"/>
      <c r="I37" s="250"/>
      <c r="J37" s="250"/>
      <c r="K37" s="250"/>
      <c r="L37" s="250"/>
      <c r="M37" s="250"/>
      <c r="N37" s="250" t="str" cm="1">
        <f t="array" ref="N37">_xlfn.TEXTJOIN(" , ",TRUE,(IF('برنامه فروردین'!$AG$5:$AG$29=دیتا!$F$4,'برنامه فروردین'!$F$5:$F$29,""))&amp;(IF('برنامه فروردین'!$AG$5:$AG$29=دیتا!$F$6,'برنامه فروردین'!$F$5:$F$29,""))&amp;(IF('برنامه فروردین'!$AG$5:$AG$29=دیتا!$F$8,'برنامه فروردین'!$F$5:$F$29,"")))</f>
        <v>دکتر محسن</v>
      </c>
      <c r="O37" s="250"/>
      <c r="P37" s="250"/>
      <c r="Q37" s="250"/>
      <c r="R37" s="250"/>
      <c r="S37" s="250"/>
      <c r="T37" s="250"/>
      <c r="U37" s="250"/>
      <c r="V37" s="250" t="str" cm="1">
        <f t="array" ref="V37">_xlfn.TEXTJOIN(" , ",TRUE,(IF('برنامه فروردین'!$AG$5:$AG$29=دیتا!$F$5,'برنامه فروردین'!$F$5:$F$29,""))&amp;(IF('برنامه فروردین'!$AG$5:$AG$29=دیتا!$F$7,'برنامه فروردین'!$F$5:$F$29,""))&amp;(IF('برنامه فروردین'!$AG$5:$AG$29=دیتا!$F$8,'برنامه فروردین'!$F$5:$F$29,"")))</f>
        <v>دکتر علی</v>
      </c>
      <c r="W37" s="250"/>
      <c r="X37" s="250"/>
      <c r="Y37" s="250"/>
      <c r="Z37" s="250"/>
      <c r="AA37" s="250"/>
      <c r="AB37" s="250"/>
      <c r="AC37" s="252"/>
      <c r="AD37" s="62"/>
      <c r="AE37" s="62"/>
    </row>
    <row r="38" spans="1:31" ht="39.9" customHeight="1">
      <c r="A38" s="62"/>
      <c r="B38" s="62"/>
      <c r="C38" s="255" t="str">
        <f t="shared" si="0"/>
        <v>سه شنبه</v>
      </c>
      <c r="D38" s="256"/>
      <c r="E38" s="68">
        <v>28</v>
      </c>
      <c r="F38" s="250" t="str" cm="1">
        <f t="array" ref="F38">_xlfn.TEXTJOIN(" , ",TRUE,(IF('برنامه فروردین'!$AH$5:$AH$29=دیتا!$F$3,'برنامه فروردین'!$F$5:$F$29,""))&amp;(IF('برنامه فروردین'!$AH$5:$AH$29=دیتا!$F$7,'برنامه فروردین'!$F$5:$F$29,""))&amp;(IF('برنامه فروردین'!$AH$5:$AH$29=دیتا!$F$6,'برنامه فروردین'!$F$5:$F$29,"")))</f>
        <v>دکتر خالد</v>
      </c>
      <c r="G38" s="250"/>
      <c r="H38" s="250"/>
      <c r="I38" s="250"/>
      <c r="J38" s="250"/>
      <c r="K38" s="250"/>
      <c r="L38" s="250"/>
      <c r="M38" s="250"/>
      <c r="N38" s="250" t="str" cm="1">
        <f t="array" ref="N38">_xlfn.TEXTJOIN(" , ",TRUE,(IF('برنامه فروردین'!$AH$5:$AH$29=دیتا!$F$4,'برنامه فروردین'!$F$5:$F$29,""))&amp;(IF('برنامه فروردین'!$AH$5:$AH$29=دیتا!$F$6,'برنامه فروردین'!$F$5:$F$29,""))&amp;(IF('برنامه فروردین'!$AH$5:$AH$29=دیتا!$F$8,'برنامه فروردین'!$F$5:$F$29,"")))</f>
        <v>دکتر محسن</v>
      </c>
      <c r="O38" s="250"/>
      <c r="P38" s="250"/>
      <c r="Q38" s="250"/>
      <c r="R38" s="250"/>
      <c r="S38" s="250"/>
      <c r="T38" s="250"/>
      <c r="U38" s="250"/>
      <c r="V38" s="250" t="str" cm="1">
        <f t="array" ref="V38">_xlfn.TEXTJOIN(" , ",TRUE,(IF('برنامه فروردین'!$AH$5:$AH$29=دیتا!$F$5,'برنامه فروردین'!$F$5:$F$29,""))&amp;(IF('برنامه فروردین'!$AH$5:$AH$29=دیتا!$F$7,'برنامه فروردین'!$F$5:$F$29,""))&amp;(IF('برنامه فروردین'!$AH$5:$AH$29=دیتا!$F$8,'برنامه فروردین'!$F$5:$F$29,"")))</f>
        <v>دکتر صبا</v>
      </c>
      <c r="W38" s="250"/>
      <c r="X38" s="250"/>
      <c r="Y38" s="250"/>
      <c r="Z38" s="250"/>
      <c r="AA38" s="250"/>
      <c r="AB38" s="250"/>
      <c r="AC38" s="252"/>
      <c r="AD38" s="62"/>
      <c r="AE38" s="62"/>
    </row>
    <row r="39" spans="1:31" ht="39.9" customHeight="1">
      <c r="A39" s="62"/>
      <c r="B39" s="62"/>
      <c r="C39" s="255" t="str">
        <f t="shared" si="0"/>
        <v>چهار شنبه</v>
      </c>
      <c r="D39" s="256"/>
      <c r="E39" s="68">
        <v>29</v>
      </c>
      <c r="F39" s="250" t="str" cm="1">
        <f t="array" ref="F39">_xlfn.TEXTJOIN(" , ",TRUE,(IF('برنامه فروردین'!$AI$5:$AI$29=دیتا!$F$3,'برنامه فروردین'!$F$5:$F$29,""))&amp;(IF('برنامه فروردین'!$AI$5:$AI$29=دیتا!$F$7,'برنامه فروردین'!$F$5:$F$29,""))&amp;(IF('برنامه فروردین'!$AI$5:$AI$29=دیتا!$F$6,'برنامه فروردین'!$F$5:$F$29,"")))</f>
        <v/>
      </c>
      <c r="G39" s="250"/>
      <c r="H39" s="250"/>
      <c r="I39" s="250"/>
      <c r="J39" s="250"/>
      <c r="K39" s="250"/>
      <c r="L39" s="250"/>
      <c r="M39" s="250"/>
      <c r="N39" s="250" t="str" cm="1">
        <f t="array" ref="N39">_xlfn.TEXTJOIN(" , ",TRUE,(IF('برنامه فروردین'!$AI$5:$AI$29=دیتا!$F$4,'برنامه فروردین'!$F$5:$F$29,""))&amp;(IF('برنامه فروردین'!$AI$5:$AI$29=دیتا!$F$6,'برنامه فروردین'!$F$5:$F$29,""))&amp;(IF('برنامه فروردین'!$AI$5:$AI$29=دیتا!$F$8,'برنامه فروردین'!$F$5:$F$29,"")))</f>
        <v/>
      </c>
      <c r="O39" s="250"/>
      <c r="P39" s="250"/>
      <c r="Q39" s="250"/>
      <c r="R39" s="250"/>
      <c r="S39" s="250"/>
      <c r="T39" s="250"/>
      <c r="U39" s="250"/>
      <c r="V39" s="250" t="str" cm="1">
        <f t="array" ref="V39">_xlfn.TEXTJOIN(" , ",TRUE,(IF('برنامه فروردین'!$AI$5:$AI$29=دیتا!$F$5,'برنامه فروردین'!$F$5:$F$29,""))&amp;(IF('برنامه فروردین'!$AI$5:$AI$29=دیتا!$F$7,'برنامه فروردین'!$F$5:$F$29,""))&amp;(IF('برنامه فروردین'!$AI$5:$AI$29=دیتا!$F$8,'برنامه فروردین'!$F$5:$F$29,"")))</f>
        <v>دکتر خالد</v>
      </c>
      <c r="W39" s="250"/>
      <c r="X39" s="250"/>
      <c r="Y39" s="250"/>
      <c r="Z39" s="250"/>
      <c r="AA39" s="250"/>
      <c r="AB39" s="250"/>
      <c r="AC39" s="252"/>
      <c r="AD39" s="62"/>
      <c r="AE39" s="62"/>
    </row>
    <row r="40" spans="1:31" ht="39.9" customHeight="1">
      <c r="A40" s="62"/>
      <c r="B40" s="62"/>
      <c r="C40" s="255" t="str">
        <f t="shared" si="0"/>
        <v>پنج شنبه</v>
      </c>
      <c r="D40" s="256"/>
      <c r="E40" s="68">
        <v>30</v>
      </c>
      <c r="F40" s="250" t="str" cm="1">
        <f t="array" ref="F40">_xlfn.TEXTJOIN(" , ",TRUE,(IF('برنامه فروردین'!$AJ$5:$AJ$29=دیتا!$F$3,'برنامه فروردین'!$F$5:$F$29,""))&amp;(IF('برنامه فروردین'!$AJ$5:$AJ$29=دیتا!$F$7,'برنامه فروردین'!$F$5:$F$29,""))&amp;(IF('برنامه فروردین'!$AJ$5:$AJ$29=دیتا!$F$6,'برنامه فروردین'!$F$5:$F$29,"")))</f>
        <v/>
      </c>
      <c r="G40" s="250"/>
      <c r="H40" s="250"/>
      <c r="I40" s="250"/>
      <c r="J40" s="250"/>
      <c r="K40" s="250"/>
      <c r="L40" s="250"/>
      <c r="M40" s="250"/>
      <c r="N40" s="250" t="str" cm="1">
        <f t="array" ref="N40">_xlfn.TEXTJOIN(" , ",TRUE,(IF('برنامه فروردین'!$AJ$5:$AJ$29=دیتا!$F$4,'برنامه فروردین'!$F$5:$F$29,""))&amp;(IF('برنامه فروردین'!$AJ$5:$AJ$29=دیتا!$F$6,'برنامه فروردین'!$F$5:$F$29,""))&amp;(IF('برنامه فروردین'!$AJ$5:$AJ$29=دیتا!$F$8,'برنامه فروردین'!$F$5:$F$29,"")))</f>
        <v>دکتر علی</v>
      </c>
      <c r="O40" s="250"/>
      <c r="P40" s="250"/>
      <c r="Q40" s="250"/>
      <c r="R40" s="250"/>
      <c r="S40" s="250"/>
      <c r="T40" s="250"/>
      <c r="U40" s="250"/>
      <c r="V40" s="250" t="str" cm="1">
        <f t="array" ref="V40">_xlfn.TEXTJOIN(" , ",TRUE,(IF('برنامه فروردین'!$AJ$5:$AJ$29=دیتا!$F$5,'برنامه فروردین'!$F$5:$F$29,""))&amp;(IF('برنامه فروردین'!$AJ$5:$AJ$29=دیتا!$F$7,'برنامه فروردین'!$F$5:$F$29,""))&amp;(IF('برنامه فروردین'!$AJ$5:$AJ$29=دیتا!$F$8,'برنامه فروردین'!$F$5:$F$29,"")))</f>
        <v/>
      </c>
      <c r="W40" s="250"/>
      <c r="X40" s="250"/>
      <c r="Y40" s="250"/>
      <c r="Z40" s="250"/>
      <c r="AA40" s="250"/>
      <c r="AB40" s="250"/>
      <c r="AC40" s="252"/>
      <c r="AD40" s="62"/>
      <c r="AE40" s="62"/>
    </row>
    <row r="41" spans="1:31" ht="39.9" customHeight="1" thickBot="1">
      <c r="A41" s="62"/>
      <c r="B41" s="62"/>
      <c r="C41" s="257" t="str">
        <f t="shared" si="0"/>
        <v>جمعه</v>
      </c>
      <c r="D41" s="258"/>
      <c r="E41" s="69">
        <v>31</v>
      </c>
      <c r="F41" s="251" t="str" cm="1">
        <f t="array" ref="F41">_xlfn.TEXTJOIN(" , ",TRUE,(IF('برنامه فروردین'!$AK$5:$AK$29=دیتا!$F$3,'برنامه فروردین'!$F$5:$F$29,""))&amp;(IF('برنامه فروردین'!$AK$5:$AK$29=دیتا!$F$7,'برنامه فروردین'!$F$5:$F$29,""))&amp;(IF('برنامه فروردین'!$AK$5:$AK$29=دیتا!$F$6,'برنامه فروردین'!$F$5:$F$29,"")))</f>
        <v/>
      </c>
      <c r="G41" s="251"/>
      <c r="H41" s="251"/>
      <c r="I41" s="251"/>
      <c r="J41" s="251"/>
      <c r="K41" s="251"/>
      <c r="L41" s="251"/>
      <c r="M41" s="251"/>
      <c r="N41" s="251" t="str" cm="1">
        <f t="array" ref="N41">_xlfn.TEXTJOIN(" , ",TRUE,(IF('برنامه فروردین'!$AK$5:$AK$29=دیتا!$F$4,'برنامه فروردین'!$F$5:$F$29,""))&amp;(IF('برنامه فروردین'!$AK$5:$AK$29=دیتا!$F$6,'برنامه فروردین'!$F$5:$F$29,""))&amp;(IF('برنامه فروردین'!$AK$5:$AK$29=دیتا!$F$8,'برنامه فروردین'!$F$5:$F$29,"")))</f>
        <v/>
      </c>
      <c r="O41" s="251"/>
      <c r="P41" s="251"/>
      <c r="Q41" s="251"/>
      <c r="R41" s="251"/>
      <c r="S41" s="251"/>
      <c r="T41" s="251"/>
      <c r="U41" s="251"/>
      <c r="V41" s="251" t="str" cm="1">
        <f t="array" ref="V41">_xlfn.TEXTJOIN(" , ",TRUE,(IF('برنامه فروردین'!$AK$5:$AK$29=دیتا!$F$5,'برنامه فروردین'!$F$5:$F$29,""))&amp;(IF('برنامه فروردین'!$AK$5:$AK$29=دیتا!$F$7,'برنامه فروردین'!$F$5:$F$29,""))&amp;(IF('برنامه فروردین'!$AK$5:$AK$29=دیتا!$F$8,'برنامه فروردین'!$F$5:$F$29,"")))</f>
        <v/>
      </c>
      <c r="W41" s="251"/>
      <c r="X41" s="251"/>
      <c r="Y41" s="251"/>
      <c r="Z41" s="251"/>
      <c r="AA41" s="251"/>
      <c r="AB41" s="251"/>
      <c r="AC41" s="253"/>
      <c r="AD41" s="62"/>
      <c r="AE41" s="62"/>
    </row>
    <row r="42" spans="1:3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</row>
    <row r="43" spans="1:31">
      <c r="A43" s="62"/>
      <c r="B43" s="62"/>
      <c r="C43" s="62"/>
      <c r="D43" s="62"/>
      <c r="E43" s="254" t="s">
        <v>187</v>
      </c>
      <c r="F43" s="254"/>
      <c r="G43" s="254"/>
      <c r="H43" s="254"/>
      <c r="I43" s="254"/>
      <c r="J43" s="254"/>
      <c r="K43" s="254"/>
      <c r="L43" s="254"/>
      <c r="M43" s="254"/>
      <c r="N43" s="101"/>
      <c r="O43" s="101"/>
      <c r="P43" s="101"/>
      <c r="Q43" s="101"/>
      <c r="R43" s="101"/>
      <c r="S43" s="101"/>
      <c r="T43" s="101"/>
      <c r="U43" s="254" t="s">
        <v>188</v>
      </c>
      <c r="V43" s="254"/>
      <c r="W43" s="254"/>
      <c r="X43" s="254"/>
      <c r="Y43" s="254"/>
      <c r="Z43" s="254"/>
      <c r="AA43" s="254"/>
      <c r="AB43" s="254"/>
      <c r="AC43" s="62"/>
      <c r="AD43" s="62"/>
      <c r="AE43" s="62"/>
    </row>
    <row r="44" spans="1:31" ht="15" customHeight="1">
      <c r="A44" s="62"/>
      <c r="B44" s="62"/>
      <c r="C44" s="62"/>
      <c r="D44" s="62"/>
      <c r="E44" s="254"/>
      <c r="F44" s="254"/>
      <c r="G44" s="254"/>
      <c r="H44" s="254"/>
      <c r="I44" s="254"/>
      <c r="J44" s="254"/>
      <c r="K44" s="254"/>
      <c r="L44" s="254"/>
      <c r="M44" s="254"/>
      <c r="N44" s="101"/>
      <c r="O44" s="101"/>
      <c r="P44" s="101"/>
      <c r="Q44" s="101"/>
      <c r="R44" s="101"/>
      <c r="S44" s="101"/>
      <c r="T44" s="101"/>
      <c r="U44" s="254"/>
      <c r="V44" s="254"/>
      <c r="W44" s="254"/>
      <c r="X44" s="254"/>
      <c r="Y44" s="254"/>
      <c r="Z44" s="254"/>
      <c r="AA44" s="254"/>
      <c r="AB44" s="254"/>
      <c r="AC44" s="62"/>
      <c r="AD44" s="62"/>
      <c r="AE44" s="62"/>
    </row>
    <row r="45" spans="1:31" ht="15" customHeight="1">
      <c r="A45" s="62"/>
      <c r="B45" s="62"/>
      <c r="C45" s="62"/>
      <c r="D45" s="62"/>
      <c r="E45" s="254"/>
      <c r="F45" s="254"/>
      <c r="G45" s="254"/>
      <c r="H45" s="254"/>
      <c r="I45" s="254"/>
      <c r="J45" s="254"/>
      <c r="K45" s="254"/>
      <c r="L45" s="254"/>
      <c r="M45" s="254"/>
      <c r="N45" s="101"/>
      <c r="O45" s="101"/>
      <c r="P45" s="101"/>
      <c r="Q45" s="101"/>
      <c r="R45" s="101"/>
      <c r="S45" s="101"/>
      <c r="T45" s="101"/>
      <c r="U45" s="254"/>
      <c r="V45" s="254"/>
      <c r="W45" s="254"/>
      <c r="X45" s="254"/>
      <c r="Y45" s="254"/>
      <c r="Z45" s="254"/>
      <c r="AA45" s="254"/>
      <c r="AB45" s="254"/>
      <c r="AC45" s="62"/>
      <c r="AD45" s="62"/>
      <c r="AE45" s="62"/>
    </row>
    <row r="46" spans="1:31" ht="15" customHeight="1">
      <c r="A46" s="62"/>
      <c r="B46" s="62"/>
      <c r="C46" s="62"/>
      <c r="D46" s="62"/>
      <c r="E46" s="254"/>
      <c r="F46" s="254"/>
      <c r="G46" s="254"/>
      <c r="H46" s="254"/>
      <c r="I46" s="254"/>
      <c r="J46" s="254"/>
      <c r="K46" s="254"/>
      <c r="L46" s="254"/>
      <c r="M46" s="254"/>
      <c r="N46" s="101"/>
      <c r="O46" s="101"/>
      <c r="P46" s="101"/>
      <c r="Q46" s="101"/>
      <c r="R46" s="101"/>
      <c r="S46" s="101"/>
      <c r="T46" s="101"/>
      <c r="U46" s="254"/>
      <c r="V46" s="254"/>
      <c r="W46" s="254"/>
      <c r="X46" s="254"/>
      <c r="Y46" s="254"/>
      <c r="Z46" s="254"/>
      <c r="AA46" s="254"/>
      <c r="AB46" s="254"/>
      <c r="AC46" s="62"/>
      <c r="AD46" s="62"/>
      <c r="AE46" s="62"/>
    </row>
    <row r="47" spans="1:31">
      <c r="A47" s="62"/>
      <c r="B47" s="62"/>
      <c r="C47" s="62"/>
      <c r="D47" s="62"/>
      <c r="E47" s="249">
        <f>تنظیمات!O19</f>
        <v>0</v>
      </c>
      <c r="F47" s="249"/>
      <c r="G47" s="249"/>
      <c r="H47" s="249"/>
      <c r="I47" s="249"/>
      <c r="J47" s="249"/>
      <c r="K47" s="249"/>
      <c r="L47" s="249"/>
      <c r="M47" s="249"/>
      <c r="N47" s="101"/>
      <c r="O47" s="101"/>
      <c r="P47" s="101"/>
      <c r="Q47" s="101"/>
      <c r="R47" s="101"/>
      <c r="S47" s="101"/>
      <c r="T47" s="101"/>
      <c r="U47" s="249">
        <f>تنظیمات!O15</f>
        <v>0</v>
      </c>
      <c r="V47" s="249"/>
      <c r="W47" s="249"/>
      <c r="X47" s="249"/>
      <c r="Y47" s="249"/>
      <c r="Z47" s="249"/>
      <c r="AA47" s="249"/>
      <c r="AB47" s="249"/>
      <c r="AC47" s="62"/>
      <c r="AD47" s="62"/>
      <c r="AE47" s="62"/>
    </row>
    <row r="48" spans="1:31">
      <c r="A48" s="62"/>
      <c r="B48" s="62"/>
      <c r="C48" s="62"/>
      <c r="D48" s="62"/>
      <c r="E48" s="249"/>
      <c r="F48" s="249"/>
      <c r="G48" s="249"/>
      <c r="H48" s="249"/>
      <c r="I48" s="249"/>
      <c r="J48" s="249"/>
      <c r="K48" s="249"/>
      <c r="L48" s="249"/>
      <c r="M48" s="249"/>
      <c r="N48" s="101"/>
      <c r="O48" s="101"/>
      <c r="P48" s="101"/>
      <c r="Q48" s="101"/>
      <c r="R48" s="101"/>
      <c r="S48" s="101"/>
      <c r="T48" s="101"/>
      <c r="U48" s="249"/>
      <c r="V48" s="249"/>
      <c r="W48" s="249"/>
      <c r="X48" s="249"/>
      <c r="Y48" s="249"/>
      <c r="Z48" s="249"/>
      <c r="AA48" s="249"/>
      <c r="AB48" s="249"/>
      <c r="AC48" s="62"/>
      <c r="AD48" s="62"/>
      <c r="AE48" s="62"/>
    </row>
    <row r="49" spans="1:31">
      <c r="A49" s="62"/>
      <c r="B49" s="62"/>
      <c r="C49" s="62"/>
      <c r="D49" s="62"/>
      <c r="E49" s="249"/>
      <c r="F49" s="249"/>
      <c r="G49" s="249"/>
      <c r="H49" s="249"/>
      <c r="I49" s="249"/>
      <c r="J49" s="249"/>
      <c r="K49" s="249"/>
      <c r="L49" s="249"/>
      <c r="M49" s="249"/>
      <c r="N49" s="101"/>
      <c r="O49" s="101"/>
      <c r="P49" s="101"/>
      <c r="Q49" s="101"/>
      <c r="R49" s="101"/>
      <c r="S49" s="101"/>
      <c r="T49" s="101"/>
      <c r="U49" s="249"/>
      <c r="V49" s="249"/>
      <c r="W49" s="249"/>
      <c r="X49" s="249"/>
      <c r="Y49" s="249"/>
      <c r="Z49" s="249"/>
      <c r="AA49" s="249"/>
      <c r="AB49" s="249"/>
      <c r="AC49" s="62"/>
      <c r="AD49" s="62"/>
      <c r="AE49" s="62"/>
    </row>
    <row r="50" spans="1:31">
      <c r="A50" s="62"/>
      <c r="B50" s="62"/>
      <c r="C50" s="62"/>
      <c r="D50" s="62"/>
      <c r="E50" s="249"/>
      <c r="F50" s="249"/>
      <c r="G50" s="249"/>
      <c r="H50" s="249"/>
      <c r="I50" s="249"/>
      <c r="J50" s="249"/>
      <c r="K50" s="249"/>
      <c r="L50" s="249"/>
      <c r="M50" s="249"/>
      <c r="N50" s="101"/>
      <c r="O50" s="101"/>
      <c r="P50" s="101"/>
      <c r="Q50" s="101"/>
      <c r="R50" s="101"/>
      <c r="S50" s="101"/>
      <c r="T50" s="101"/>
      <c r="U50" s="249"/>
      <c r="V50" s="249"/>
      <c r="W50" s="249"/>
      <c r="X50" s="249"/>
      <c r="Y50" s="249"/>
      <c r="Z50" s="249"/>
      <c r="AA50" s="249"/>
      <c r="AB50" s="249"/>
      <c r="AC50" s="62"/>
      <c r="AD50" s="62"/>
      <c r="AE50" s="62"/>
    </row>
    <row r="51" spans="1:3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</row>
    <row r="52" spans="1:3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</row>
  </sheetData>
  <sheetProtection algorithmName="SHA-512" hashValue="3PVj1tzim9T6VKtDgQYbLiIbk80O6kd8ccE29CEL3Ag2ma/mP0MPBKaXlu3TH/LlfkVIlmMTOL0HYSydf28csg==" saltValue="5lr74mBVu+ioWOBhwH77MA==" spinCount="100000" sheet="1" formatCells="0" formatColumns="0" formatRows="0" insertColumns="0" insertRows="0" insertHyperlinks="0" deleteColumns="0" deleteRows="0" sort="0" autoFilter="0" pivotTables="0"/>
  <mergeCells count="141">
    <mergeCell ref="E9:E10"/>
    <mergeCell ref="F11:M11"/>
    <mergeCell ref="F12:M12"/>
    <mergeCell ref="F13:M13"/>
    <mergeCell ref="F14:M14"/>
    <mergeCell ref="V7:AA8"/>
    <mergeCell ref="D7:F8"/>
    <mergeCell ref="G7:I8"/>
    <mergeCell ref="L3:U4"/>
    <mergeCell ref="I5:W6"/>
    <mergeCell ref="C9:D10"/>
    <mergeCell ref="V14:AC14"/>
    <mergeCell ref="C18:D18"/>
    <mergeCell ref="C19:D19"/>
    <mergeCell ref="N11:U11"/>
    <mergeCell ref="V11:AC11"/>
    <mergeCell ref="N12:U12"/>
    <mergeCell ref="V12:AC12"/>
    <mergeCell ref="N18:U18"/>
    <mergeCell ref="V18:AC18"/>
    <mergeCell ref="F19:M19"/>
    <mergeCell ref="C11:D11"/>
    <mergeCell ref="C12:D12"/>
    <mergeCell ref="C13:D13"/>
    <mergeCell ref="C14:D14"/>
    <mergeCell ref="N19:U19"/>
    <mergeCell ref="V19:AC19"/>
    <mergeCell ref="V16:AC16"/>
    <mergeCell ref="N17:U17"/>
    <mergeCell ref="V17:AC17"/>
    <mergeCell ref="N13:U13"/>
    <mergeCell ref="V13:AC13"/>
    <mergeCell ref="N14:U14"/>
    <mergeCell ref="N15:U15"/>
    <mergeCell ref="V15:AC15"/>
    <mergeCell ref="C22:D22"/>
    <mergeCell ref="C23:D23"/>
    <mergeCell ref="C41:D41"/>
    <mergeCell ref="C35:D35"/>
    <mergeCell ref="C36:D36"/>
    <mergeCell ref="F9:M9"/>
    <mergeCell ref="N9:U9"/>
    <mergeCell ref="V9:AC9"/>
    <mergeCell ref="F10:M10"/>
    <mergeCell ref="N10:U10"/>
    <mergeCell ref="V10:AC10"/>
    <mergeCell ref="F15:M15"/>
    <mergeCell ref="C25:D25"/>
    <mergeCell ref="C26:D26"/>
    <mergeCell ref="C27:D27"/>
    <mergeCell ref="C28:D28"/>
    <mergeCell ref="C29:D29"/>
    <mergeCell ref="C40:D40"/>
    <mergeCell ref="C37:D37"/>
    <mergeCell ref="C38:D38"/>
    <mergeCell ref="C39:D39"/>
    <mergeCell ref="C15:D15"/>
    <mergeCell ref="C16:D16"/>
    <mergeCell ref="C17:D17"/>
    <mergeCell ref="C30:D30"/>
    <mergeCell ref="C31:D31"/>
    <mergeCell ref="C32:D32"/>
    <mergeCell ref="C33:D33"/>
    <mergeCell ref="C34:D34"/>
    <mergeCell ref="F16:M16"/>
    <mergeCell ref="F17:M17"/>
    <mergeCell ref="F18:M18"/>
    <mergeCell ref="N16:U16"/>
    <mergeCell ref="F24:M24"/>
    <mergeCell ref="F25:M25"/>
    <mergeCell ref="N24:U24"/>
    <mergeCell ref="F28:M28"/>
    <mergeCell ref="F29:M29"/>
    <mergeCell ref="N28:U28"/>
    <mergeCell ref="F32:M32"/>
    <mergeCell ref="F33:M33"/>
    <mergeCell ref="N32:U32"/>
    <mergeCell ref="C24:D24"/>
    <mergeCell ref="C20:D20"/>
    <mergeCell ref="C21:D21"/>
    <mergeCell ref="F20:M20"/>
    <mergeCell ref="F21:M21"/>
    <mergeCell ref="N20:U20"/>
    <mergeCell ref="V20:AC20"/>
    <mergeCell ref="N21:U21"/>
    <mergeCell ref="V21:AC21"/>
    <mergeCell ref="V28:AC28"/>
    <mergeCell ref="N29:U29"/>
    <mergeCell ref="V29:AC29"/>
    <mergeCell ref="F26:M26"/>
    <mergeCell ref="F27:M27"/>
    <mergeCell ref="N26:U26"/>
    <mergeCell ref="V26:AC26"/>
    <mergeCell ref="N27:U27"/>
    <mergeCell ref="V27:AC27"/>
    <mergeCell ref="V24:AC24"/>
    <mergeCell ref="N25:U25"/>
    <mergeCell ref="V25:AC25"/>
    <mergeCell ref="F22:M22"/>
    <mergeCell ref="F23:M23"/>
    <mergeCell ref="N22:U22"/>
    <mergeCell ref="V22:AC22"/>
    <mergeCell ref="N23:U23"/>
    <mergeCell ref="V23:AC23"/>
    <mergeCell ref="V32:AC32"/>
    <mergeCell ref="N33:U33"/>
    <mergeCell ref="V33:AC33"/>
    <mergeCell ref="F30:M30"/>
    <mergeCell ref="F31:M31"/>
    <mergeCell ref="N30:U30"/>
    <mergeCell ref="V30:AC30"/>
    <mergeCell ref="N31:U31"/>
    <mergeCell ref="V31:AC31"/>
    <mergeCell ref="F36:M36"/>
    <mergeCell ref="F37:M37"/>
    <mergeCell ref="N36:U36"/>
    <mergeCell ref="V36:AC36"/>
    <mergeCell ref="N37:U37"/>
    <mergeCell ref="V37:AC37"/>
    <mergeCell ref="F34:M34"/>
    <mergeCell ref="F35:M35"/>
    <mergeCell ref="N34:U34"/>
    <mergeCell ref="V34:AC34"/>
    <mergeCell ref="N35:U35"/>
    <mergeCell ref="V35:AC35"/>
    <mergeCell ref="E47:M50"/>
    <mergeCell ref="U47:AB50"/>
    <mergeCell ref="F40:M40"/>
    <mergeCell ref="F41:M41"/>
    <mergeCell ref="N40:U40"/>
    <mergeCell ref="V40:AC40"/>
    <mergeCell ref="N41:U41"/>
    <mergeCell ref="V41:AC41"/>
    <mergeCell ref="F38:M38"/>
    <mergeCell ref="F39:M39"/>
    <mergeCell ref="N38:U38"/>
    <mergeCell ref="V38:AC38"/>
    <mergeCell ref="N39:U39"/>
    <mergeCell ref="V39:AC39"/>
    <mergeCell ref="U43:AB46"/>
    <mergeCell ref="E43:M46"/>
  </mergeCells>
  <conditionalFormatting sqref="F11:M41">
    <cfRule type="expression" dxfId="2" priority="3">
      <formula>MOD(ROW(),2)</formula>
    </cfRule>
  </conditionalFormatting>
  <conditionalFormatting sqref="N11:U41">
    <cfRule type="expression" dxfId="1" priority="4" stopIfTrue="1">
      <formula>MOD(ROW(),2)</formula>
    </cfRule>
  </conditionalFormatting>
  <conditionalFormatting sqref="V11:AC41">
    <cfRule type="expression" dxfId="0" priority="2">
      <formula>MOD(ROW(),2)</formula>
    </cfRule>
  </conditionalFormatting>
  <printOptions horizontalCentered="1" verticalCentered="1"/>
  <pageMargins left="0.25" right="0.25" top="0.75" bottom="0.75" header="0.3" footer="0.3"/>
  <pageSetup paperSize="9" scale="46" orientation="portrait" r:id="rId1"/>
  <drawing r:id="rId2"/>
  <picture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84D7C9B-75CF-455F-954D-21FD41B82B04}">
            <xm:f>NOT(ISERROR(SEARCH(دیتا!$D$8,C11)))</xm:f>
            <xm:f>دیتا!$D$8</xm:f>
            <x14:dxf>
              <font>
                <b/>
                <i val="0"/>
                <u val="none"/>
                <color rgb="FFFFFF00"/>
              </font>
              <fill>
                <patternFill patternType="solid">
                  <bgColor rgb="FFFF0000"/>
                </patternFill>
              </fill>
            </x14:dxf>
          </x14:cfRule>
          <xm:sqref>C11:E41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1">
    <tabColor theme="8" tint="0.39997558519241921"/>
    <pageSetUpPr fitToPage="1"/>
  </sheetPr>
  <dimension ref="A1:Z37"/>
  <sheetViews>
    <sheetView showGridLines="0" showZeros="0" rightToLeft="1" zoomScale="90" zoomScaleNormal="90" zoomScaleSheetLayoutView="86" zoomScalePageLayoutView="90" workbookViewId="0">
      <selection sqref="A1:XFD1048576"/>
    </sheetView>
  </sheetViews>
  <sheetFormatPr defaultColWidth="9" defaultRowHeight="14.4"/>
  <cols>
    <col min="1" max="1" width="9" style="2"/>
    <col min="2" max="2" width="3.6640625" style="2" customWidth="1"/>
    <col min="3" max="3" width="17.88671875" style="2" bestFit="1" customWidth="1"/>
    <col min="4" max="4" width="7.6640625" style="2" customWidth="1"/>
    <col min="5" max="5" width="11.5546875" style="2" customWidth="1"/>
    <col min="6" max="6" width="10.33203125" style="2" customWidth="1"/>
    <col min="7" max="7" width="8.77734375" style="2" bestFit="1" customWidth="1"/>
    <col min="8" max="8" width="7.88671875" style="2" customWidth="1"/>
    <col min="9" max="15" width="9.44140625" style="2" customWidth="1"/>
    <col min="16" max="16" width="4.88671875" style="2" customWidth="1"/>
    <col min="17" max="17" width="7.88671875" style="2" customWidth="1"/>
    <col min="18" max="18" width="12.33203125" style="2" customWidth="1"/>
    <col min="19" max="19" width="7.6640625" style="2" customWidth="1"/>
    <col min="20" max="20" width="9" style="2" customWidth="1"/>
    <col min="21" max="21" width="11.88671875" style="2" customWidth="1"/>
    <col min="22" max="22" width="13.33203125" style="2" customWidth="1"/>
    <col min="23" max="23" width="9.33203125" style="2" customWidth="1"/>
    <col min="24" max="24" width="8.88671875" style="2" customWidth="1"/>
    <col min="25" max="25" width="8.21875" style="2" customWidth="1"/>
    <col min="26" max="26" width="14.21875" style="2" customWidth="1"/>
    <col min="27" max="16384" width="9" style="2"/>
  </cols>
  <sheetData>
    <row r="1" spans="1:26" ht="15" thickBo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26" ht="39.75" customHeight="1">
      <c r="A2" s="62"/>
      <c r="B2" s="294" t="str">
        <f>تنظیمات!F2</f>
        <v>مرکز آموزشی پژوهشی درمانی بیمارستان بنت الهدی</v>
      </c>
      <c r="C2" s="295"/>
      <c r="D2" s="295"/>
      <c r="E2" s="295"/>
      <c r="F2" s="295"/>
      <c r="G2" s="295"/>
      <c r="H2" s="295" t="str">
        <f>تنظیمات!A2</f>
        <v xml:space="preserve">برنامه عملکرد پزشکان  </v>
      </c>
      <c r="I2" s="295"/>
      <c r="J2" s="295"/>
      <c r="K2" s="295"/>
      <c r="L2" s="292" t="str">
        <f>'برنامه فروردین'!AI1</f>
        <v>اورژانس</v>
      </c>
      <c r="M2" s="292"/>
      <c r="N2" s="292"/>
      <c r="O2" s="292" t="str">
        <f>'برنامه فروردین'!$S$1&amp;"  "&amp;تنظیمات!$O$2</f>
        <v>فروردین    1403</v>
      </c>
      <c r="P2" s="292"/>
      <c r="Q2" s="293"/>
      <c r="R2" s="65"/>
    </row>
    <row r="3" spans="1:26" s="9" customFormat="1" ht="36" customHeight="1">
      <c r="A3" s="66"/>
      <c r="B3" s="17" t="s">
        <v>48</v>
      </c>
      <c r="C3" s="4" t="s">
        <v>1</v>
      </c>
      <c r="D3" s="4" t="s">
        <v>149</v>
      </c>
      <c r="E3" s="4" t="s">
        <v>150</v>
      </c>
      <c r="F3" s="4" t="s">
        <v>0</v>
      </c>
      <c r="G3" s="4" t="s">
        <v>164</v>
      </c>
      <c r="H3" s="4" t="s">
        <v>4</v>
      </c>
      <c r="I3" s="4" t="s">
        <v>163</v>
      </c>
      <c r="J3" s="5" t="s">
        <v>2</v>
      </c>
      <c r="K3" s="5" t="s">
        <v>3</v>
      </c>
      <c r="L3" s="4" t="s">
        <v>162</v>
      </c>
      <c r="M3" s="4" t="s">
        <v>6</v>
      </c>
      <c r="N3" s="4" t="s">
        <v>151</v>
      </c>
      <c r="O3" s="4" t="s">
        <v>7</v>
      </c>
      <c r="P3" s="4" t="s">
        <v>8</v>
      </c>
      <c r="Q3" s="4" t="s">
        <v>37</v>
      </c>
      <c r="R3" s="62"/>
      <c r="S3" s="2"/>
      <c r="T3" s="2"/>
      <c r="U3" s="2"/>
      <c r="V3" s="2"/>
      <c r="W3" s="2"/>
      <c r="X3" s="2"/>
      <c r="Y3" s="2"/>
      <c r="Z3" s="2"/>
    </row>
    <row r="4" spans="1:26" ht="15" customHeight="1">
      <c r="A4" s="62"/>
      <c r="B4" s="59">
        <v>1</v>
      </c>
      <c r="C4" s="61" t="str">
        <f>'برنامه فروردین'!F5</f>
        <v/>
      </c>
      <c r="D4" s="57" t="str">
        <f>IF(OR(H4="",H4=" "),"",SUM((Q4:Q28)-(J4:J28+K4:K28))*7.333)</f>
        <v/>
      </c>
      <c r="E4" s="57" t="str">
        <f>IF(G4&gt;F4,IF(OR(H4="",H4=" "),G4,IFERROR(($G$4:$G$28-$F$4:$F$28),"")),"")</f>
        <v/>
      </c>
      <c r="F4" s="57" t="str">
        <f>IFERROR(($H$4:$H$28/6)*(($Q$4:$Q$28)-($J$4:$J$28+$K$4:$K$28)),"")</f>
        <v/>
      </c>
      <c r="G4" s="57">
        <f>IF(OR(H4=44,H4=""),(('کارکرد '!P4*تنظیمات!$O$10)+('کارکرد '!O4*تنظیمات!$O$8)+('کارکرد '!N4*تنظیمات!$O$8)+('کارکرد '!M4*(تنظیمات!$O$8+تنظیمات!$O$9))+('کارکرد '!L4*(تنظیمات!$O$8+تنظیمات!$O$9))+'کارکرد '!I4),('کارکرد '!P4*تنظیمات!$O$10*1.5)+('کارکرد '!O4*تنظیمات!$O$8)+('کارکرد '!N4*تنظیمات!$O$8*1.5)+('کارکرد '!M4*(تنظیمات!$O$8+تنظیمات!$O$9))+('کارکرد '!L4*(تنظیمات!$O$8+تنظیمات!$O$9)*1.5)+'کارکرد '!I4)</f>
        <v>0</v>
      </c>
      <c r="H4" s="57" t="str">
        <f>IFERROR(INDEX(دیتا!$K$2:$T$26,MATCH('کارکرد '!C4,دیتا!$K$2:$K$26,0),9),"")</f>
        <v/>
      </c>
      <c r="I4" s="20"/>
      <c r="J4" s="3">
        <f>'برنامه فروردین'!AP5</f>
        <v>0</v>
      </c>
      <c r="K4" s="3">
        <f>'برنامه فروردین'!AO5</f>
        <v>0</v>
      </c>
      <c r="L4" s="3">
        <f>COUNTIFS('برنامه فروردین'!G5:AK5,"=me",'برنامه فروردین'!G3:AK3,"&lt;&gt;")</f>
        <v>0</v>
      </c>
      <c r="M4" s="3">
        <f>COUNTIFS('برنامه فروردین'!G5:AK5,"=me",'برنامه فروردین'!G3:AK3,"")</f>
        <v>0</v>
      </c>
      <c r="N4" s="3" cm="1">
        <f t="array" ref="N4">SUM(COUNTIFS('برنامه فروردین'!G5:AK5,{"M","MN","E","en"},'برنامه فروردین'!$G$3:$AK$3,"&lt;&gt;"))</f>
        <v>0</v>
      </c>
      <c r="O4" s="3" cm="1">
        <f t="array" ref="O4">SUM(COUNTIFS('برنامه فروردین'!G5:AK5,{"M","MN","E","en"},'برنامه فروردین'!$G$3:$AK$3,""))</f>
        <v>0</v>
      </c>
      <c r="P4" s="3">
        <f>'برنامه فروردین'!AN5</f>
        <v>0</v>
      </c>
      <c r="Q4" s="3">
        <f>COUNTIF('برنامه فروردین'!G3:AK3,"")</f>
        <v>27</v>
      </c>
      <c r="R4" s="62"/>
    </row>
    <row r="5" spans="1:26" ht="15" customHeight="1">
      <c r="A5" s="62"/>
      <c r="B5" s="6">
        <v>2</v>
      </c>
      <c r="C5" s="18" t="str">
        <f>'برنامه فروردین'!F6</f>
        <v>دکتر علی</v>
      </c>
      <c r="D5" s="58">
        <f>IF(OR(H5="",H5=" "),"",SUM((Q5:Q29)-(J5:J29+K5:K29))*7.333)</f>
        <v>197.99100000000001</v>
      </c>
      <c r="E5" s="58" t="str">
        <f t="shared" ref="E5:E29" si="0">IF(G5&gt;F5,IF(OR(H5="",H5=" "),G5,IFERROR(($G$4:$G$28-$F$4:$F$28),"")),"")</f>
        <v/>
      </c>
      <c r="F5" s="58">
        <f t="shared" ref="F5:F28" si="1">IFERROR(($H$4:$H$28/6)*(($Q$4:$Q$28)-($J$4:$J$28+$K$4:$K$28)),"")</f>
        <v>198</v>
      </c>
      <c r="G5" s="58">
        <f>IF(OR(H5=44,H5=""),(('کارکرد '!P5*تنظیمات!$O$10)+('کارکرد '!O5*تنظیمات!$O$8)+('کارکرد '!N5*تنظیمات!$O$8)+('کارکرد '!M5*(تنظیمات!$O$8+تنظیمات!$O$9))+('کارکرد '!L5*(تنظیمات!$O$8+تنظیمات!$O$9))+'کارکرد '!I5),('کارکرد '!P5*تنظیمات!$O$10*1.5)+('کارکرد '!O5*تنظیمات!$O$8)+('کارکرد '!N5*تنظیمات!$O$8*1.5)+('کارکرد '!M5*(تنظیمات!$O$8+تنظیمات!$O$9))+('کارکرد '!L5*(تنظیمات!$O$8+تنظیمات!$O$9)*1.5)+'کارکرد '!I5)</f>
        <v>168</v>
      </c>
      <c r="H5" s="58">
        <f>IFERROR(INDEX(دیتا!$K$2:$T$26,MATCH('کارکرد '!C5,دیتا!$K$2:$K$26,0),9),"")</f>
        <v>44</v>
      </c>
      <c r="I5" s="56"/>
      <c r="J5" s="7">
        <f>'برنامه فروردین'!AP6</f>
        <v>0</v>
      </c>
      <c r="K5" s="7">
        <f>'برنامه فروردین'!AO6</f>
        <v>0</v>
      </c>
      <c r="L5" s="7">
        <f>COUNTIFS('برنامه فروردین'!G6:AK6,"=me",'برنامه فروردین'!G3:AK3,"&lt;&gt;")</f>
        <v>0</v>
      </c>
      <c r="M5" s="7">
        <f>COUNTIFS('برنامه فروردین'!G6:AK6,"=me",'برنامه فروردین'!G3:AK3,"")</f>
        <v>0</v>
      </c>
      <c r="N5" s="7" cm="1">
        <f t="array" ref="N5">SUM(COUNTIFS('برنامه فروردین'!G6:AK6,{"M","MN","E","en"},'برنامه فروردین'!$G$3:$AK$3,"&lt;&gt;"))</f>
        <v>1</v>
      </c>
      <c r="O5" s="7" cm="1">
        <f t="array" ref="O5">SUM(COUNTIFS('برنامه فروردین'!G6:AK6,{"M","MN","E","en"},'برنامه فروردین'!$G$3:$AK$3,""))</f>
        <v>9</v>
      </c>
      <c r="P5" s="7">
        <f>'برنامه فروردین'!AN6</f>
        <v>9</v>
      </c>
      <c r="Q5" s="7">
        <f>Q4</f>
        <v>27</v>
      </c>
      <c r="R5" s="62"/>
    </row>
    <row r="6" spans="1:26" ht="15" customHeight="1">
      <c r="A6" s="62"/>
      <c r="B6" s="59">
        <v>3</v>
      </c>
      <c r="C6" s="61" t="str">
        <f>'برنامه فروردین'!F7</f>
        <v>دکتر خالد</v>
      </c>
      <c r="D6" s="57">
        <f t="shared" ref="D6:D28" si="2">IF(OR(H6="",H6=" "),"",SUM((Q6:Q30)-(J6:J30+K6:K30))*7.333)</f>
        <v>183.32500000000002</v>
      </c>
      <c r="E6" s="57">
        <f t="shared" si="0"/>
        <v>21.416666666666686</v>
      </c>
      <c r="F6" s="57">
        <f t="shared" si="1"/>
        <v>164.58333333333331</v>
      </c>
      <c r="G6" s="57">
        <f>IF(OR(H6=44,H6=""),(('کارکرد '!P6*تنظیمات!$O$10)+('کارکرد '!O6*تنظیمات!$O$8)+('کارکرد '!N6*تنظیمات!$O$8)+('کارکرد '!M6*(تنظیمات!$O$8+تنظیمات!$O$9))+('کارکرد '!L6*(تنظیمات!$O$8+تنظیمات!$O$9))+'کارکرد '!I6),('کارکرد '!P6*تنظیمات!$O$10*1.5)+('کارکرد '!O6*تنظیمات!$O$8)+('کارکرد '!N6*تنظیمات!$O$8*1.5)+('کارکرد '!M6*(تنظیمات!$O$8+تنظیمات!$O$9))+('کارکرد '!L6*(تنظیمات!$O$8+تنظیمات!$O$9)*1.5)+'کارکرد '!I6)</f>
        <v>186</v>
      </c>
      <c r="H6" s="57">
        <f>IFERROR(INDEX(دیتا!$K$2:$T$26,MATCH('کارکرد '!C6,دیتا!$K$2:$K$26,0),9),"")</f>
        <v>39.5</v>
      </c>
      <c r="I6" s="20"/>
      <c r="J6" s="3">
        <f>'برنامه فروردین'!AP7</f>
        <v>0</v>
      </c>
      <c r="K6" s="3">
        <f>'برنامه فروردین'!AO7</f>
        <v>2</v>
      </c>
      <c r="L6" s="3">
        <f>COUNTIFS('برنامه فروردین'!G7:AK7,"=me",'برنامه فروردین'!G3:AK3,"&lt;&gt;")</f>
        <v>0</v>
      </c>
      <c r="M6" s="3">
        <f>COUNTIFS('برنامه فروردین'!G7:AK7,"=me",'برنامه فروردین'!G3:AK3,"")</f>
        <v>0</v>
      </c>
      <c r="N6" s="3" cm="1">
        <f t="array" ref="N6">SUM(COUNTIFS('برنامه فروردین'!G7:AK7,{"M","MN","E","en"},'برنامه فروردین'!$G$3:$AK$3,"&lt;&gt;"))</f>
        <v>2</v>
      </c>
      <c r="O6" s="3" cm="1">
        <f t="array" ref="O6">SUM(COUNTIFS('برنامه فروردین'!G7:AK7,{"M","MN","E","en"},'برنامه فروردین'!$G$3:$AK$3,""))</f>
        <v>7</v>
      </c>
      <c r="P6" s="3">
        <f>'برنامه فروردین'!AN7</f>
        <v>7</v>
      </c>
      <c r="Q6" s="3">
        <f t="shared" ref="Q6:Q28" si="3">Q5</f>
        <v>27</v>
      </c>
      <c r="R6" s="62"/>
    </row>
    <row r="7" spans="1:26" ht="15" customHeight="1">
      <c r="A7" s="62"/>
      <c r="B7" s="6">
        <v>4</v>
      </c>
      <c r="C7" s="18" t="str">
        <f>'برنامه فروردین'!F8</f>
        <v/>
      </c>
      <c r="D7" s="58" t="str">
        <f t="shared" si="2"/>
        <v/>
      </c>
      <c r="E7" s="58" t="str">
        <f t="shared" si="0"/>
        <v/>
      </c>
      <c r="F7" s="58" t="str">
        <f t="shared" si="1"/>
        <v/>
      </c>
      <c r="G7" s="58">
        <f>IF(OR(H7=44,H7=""),(('کارکرد '!P7*تنظیمات!$O$10)+('کارکرد '!O7*تنظیمات!$O$8)+('کارکرد '!N7*تنظیمات!$O$8)+('کارکرد '!M7*(تنظیمات!$O$8+تنظیمات!$O$9))+('کارکرد '!L7*(تنظیمات!$O$8+تنظیمات!$O$9))+'کارکرد '!I7),('کارکرد '!P7*تنظیمات!$O$10*1.5)+('کارکرد '!O7*تنظیمات!$O$8)+('کارکرد '!N7*تنظیمات!$O$8*1.5)+('کارکرد '!M7*(تنظیمات!$O$8+تنظیمات!$O$9))+('کارکرد '!L7*(تنظیمات!$O$8+تنظیمات!$O$9)*1.5)+'کارکرد '!I7)</f>
        <v>0</v>
      </c>
      <c r="H7" s="58" t="str">
        <f>IFERROR(INDEX(دیتا!$K$2:$T$26,MATCH('کارکرد '!C7,دیتا!$K$2:$K$26,0),9),"")</f>
        <v/>
      </c>
      <c r="I7" s="56"/>
      <c r="J7" s="7">
        <f>'برنامه فروردین'!AP8</f>
        <v>0</v>
      </c>
      <c r="K7" s="7">
        <f>'برنامه فروردین'!AO8</f>
        <v>0</v>
      </c>
      <c r="L7" s="7">
        <f>COUNTIFS('برنامه فروردین'!G8:AK8,"=me",'برنامه فروردین'!G3:AK3,"&lt;&gt;")</f>
        <v>0</v>
      </c>
      <c r="M7" s="7">
        <f>COUNTIFS('برنامه فروردین'!G8:AK8,"=me",'برنامه فروردین'!G3:AK3,"")</f>
        <v>0</v>
      </c>
      <c r="N7" s="7" cm="1">
        <f t="array" ref="N7">SUM(COUNTIFS('برنامه فروردین'!G8:AK8,{"M","MN","E","en"},'برنامه فروردین'!$G$3:$AK$3,"&lt;&gt;"))</f>
        <v>0</v>
      </c>
      <c r="O7" s="7" cm="1">
        <f t="array" ref="O7">SUM(COUNTIFS('برنامه فروردین'!G8:AK8,{"M","MN","E","en"},'برنامه فروردین'!$G$3:$AK$3,""))</f>
        <v>0</v>
      </c>
      <c r="P7" s="7">
        <f>'برنامه فروردین'!AN8</f>
        <v>0</v>
      </c>
      <c r="Q7" s="7">
        <f t="shared" si="3"/>
        <v>27</v>
      </c>
      <c r="R7" s="62"/>
    </row>
    <row r="8" spans="1:26" ht="15" customHeight="1">
      <c r="A8" s="62"/>
      <c r="B8" s="59">
        <v>5</v>
      </c>
      <c r="C8" s="61" t="str">
        <f>'برنامه فروردین'!F9</f>
        <v/>
      </c>
      <c r="D8" s="57" t="str">
        <f>IF(OR(H8="",H8=" "),"",SUM((Q8:Q32)-(J8:J32+K8:K32))*7.333)</f>
        <v/>
      </c>
      <c r="E8" s="57" t="str">
        <f t="shared" si="0"/>
        <v/>
      </c>
      <c r="F8" s="57" t="str">
        <f t="shared" si="1"/>
        <v/>
      </c>
      <c r="G8" s="57">
        <f>IF(OR(H8=44,H8=""),(('کارکرد '!P8*تنظیمات!$O$10)+('کارکرد '!O8*تنظیمات!$O$8)+('کارکرد '!N8*تنظیمات!$O$8)+('کارکرد '!M8*(تنظیمات!$O$8+تنظیمات!$O$9))+('کارکرد '!L8*(تنظیمات!$O$8+تنظیمات!$O$9))+'کارکرد '!I8),('کارکرد '!P8*تنظیمات!$O$10*1.5)+('کارکرد '!O8*تنظیمات!$O$8)+('کارکرد '!N8*تنظیمات!$O$8*1.5)+('کارکرد '!M8*(تنظیمات!$O$8+تنظیمات!$O$9))+('کارکرد '!L8*(تنظیمات!$O$8+تنظیمات!$O$9)*1.5)+'کارکرد '!I8)</f>
        <v>6</v>
      </c>
      <c r="H8" s="57" t="str">
        <f>IFERROR(INDEX(دیتا!$K$2:$T$26,MATCH('کارکرد '!C8,دیتا!$K$2:$K$26,0),9),"")</f>
        <v/>
      </c>
      <c r="I8" s="20"/>
      <c r="J8" s="3">
        <f>'برنامه فروردین'!AP9</f>
        <v>0</v>
      </c>
      <c r="K8" s="3">
        <f>'برنامه فروردین'!AO9</f>
        <v>0</v>
      </c>
      <c r="L8" s="3">
        <f>COUNTIFS('برنامه فروردین'!G9:AK9,"=me",'برنامه فروردین'!G3:AK3,"&lt;&gt;")</f>
        <v>0</v>
      </c>
      <c r="M8" s="3">
        <f>COUNTIFS('برنامه فروردین'!G9:AK9,"=me",'برنامه فروردین'!G3:AK3,"")</f>
        <v>0</v>
      </c>
      <c r="N8" s="3" cm="1">
        <f t="array" ref="N8">SUM(COUNTIFS('برنامه فروردین'!G9:AK9,{"M","MN","E","en"},'برنامه فروردین'!$G$3:$AK$3,"&lt;&gt;"))</f>
        <v>0</v>
      </c>
      <c r="O8" s="3" cm="1">
        <f t="array" ref="O8">SUM(COUNTIFS('برنامه فروردین'!G9:AK9,{"M","MN","E","en"},'برنامه فروردین'!$G$3:$AK$3,""))</f>
        <v>1</v>
      </c>
      <c r="P8" s="3">
        <f>'برنامه فروردین'!AN9</f>
        <v>0</v>
      </c>
      <c r="Q8" s="3">
        <f t="shared" si="3"/>
        <v>27</v>
      </c>
      <c r="R8" s="62"/>
    </row>
    <row r="9" spans="1:26" ht="15" customHeight="1">
      <c r="A9" s="62"/>
      <c r="B9" s="6">
        <v>6</v>
      </c>
      <c r="C9" s="18" t="str">
        <f>'برنامه فروردین'!F10</f>
        <v>دکتر صبا</v>
      </c>
      <c r="D9" s="58">
        <f t="shared" si="2"/>
        <v>197.99100000000001</v>
      </c>
      <c r="E9" s="58" t="str">
        <f t="shared" si="0"/>
        <v/>
      </c>
      <c r="F9" s="58">
        <f t="shared" si="1"/>
        <v>182.25</v>
      </c>
      <c r="G9" s="58">
        <f>IF(OR(H9=44,H9=""),(('کارکرد '!P9*تنظیمات!$O$10)+('کارکرد '!O9*تنظیمات!$O$8)+('کارکرد '!N9*تنظیمات!$O$8)+('کارکرد '!M9*(تنظیمات!$O$8+تنظیمات!$O$9))+('کارکرد '!L9*(تنظیمات!$O$8+تنظیمات!$O$9))+'کارکرد '!I9),('کارکرد '!P9*تنظیمات!$O$10*1.5)+('کارکرد '!O9*تنظیمات!$O$8)+('کارکرد '!N9*تنظیمات!$O$8*1.5)+('کارکرد '!M9*(تنظیمات!$O$8+تنظیمات!$O$9))+('کارکرد '!L9*(تنظیمات!$O$8+تنظیمات!$O$9)*1.5)+'کارکرد '!I9)</f>
        <v>165</v>
      </c>
      <c r="H9" s="58">
        <f>IFERROR(INDEX(دیتا!$K$2:$T$26,MATCH('کارکرد '!C9,دیتا!$K$2:$K$26,0),9),"")</f>
        <v>40.5</v>
      </c>
      <c r="I9" s="56"/>
      <c r="J9" s="7">
        <f>'برنامه فروردین'!AP10</f>
        <v>0</v>
      </c>
      <c r="K9" s="7">
        <f>'برنامه فروردین'!AO10</f>
        <v>0</v>
      </c>
      <c r="L9" s="7">
        <f>COUNTIFS('برنامه فروردین'!G10:AK10,"=me",'برنامه فروردین'!G3:AK3,"&lt;&gt;")</f>
        <v>0</v>
      </c>
      <c r="M9" s="7">
        <f>COUNTIFS('برنامه فروردین'!G10:AK10,"=me",'برنامه فروردین'!G3:AK3,"")</f>
        <v>0</v>
      </c>
      <c r="N9" s="7" cm="1">
        <f t="array" ref="N9">SUM(COUNTIFS('برنامه فروردین'!G10:AK10,{"M","MN","E","en"},'برنامه فروردین'!$G$3:$AK$3,"&lt;&gt;"))</f>
        <v>3</v>
      </c>
      <c r="O9" s="7" cm="1">
        <f t="array" ref="O9">SUM(COUNTIFS('برنامه فروردین'!G10:AK10,{"M","MN","E","en"},'برنامه فروردین'!$G$3:$AK$3,""))</f>
        <v>2</v>
      </c>
      <c r="P9" s="7">
        <f>'برنامه فروردین'!AN10</f>
        <v>7</v>
      </c>
      <c r="Q9" s="7">
        <f t="shared" si="3"/>
        <v>27</v>
      </c>
      <c r="R9" s="62"/>
    </row>
    <row r="10" spans="1:26" ht="15" customHeight="1">
      <c r="A10" s="62"/>
      <c r="B10" s="59">
        <v>7</v>
      </c>
      <c r="C10" s="61" t="str">
        <f>'برنامه فروردین'!F11</f>
        <v>دکتر لیلا</v>
      </c>
      <c r="D10" s="57" t="str">
        <f t="shared" si="2"/>
        <v/>
      </c>
      <c r="E10" s="57" t="str">
        <f t="shared" si="0"/>
        <v/>
      </c>
      <c r="F10" s="57" t="str">
        <f t="shared" si="1"/>
        <v/>
      </c>
      <c r="G10" s="57">
        <f>IF(OR(H10=44,H10=""),(('کارکرد '!P10*تنظیمات!$O$10)+('کارکرد '!O10*تنظیمات!$O$8)+('کارکرد '!N10*تنظیمات!$O$8)+('کارکرد '!M10*(تنظیمات!$O$8+تنظیمات!$O$9))+('کارکرد '!L10*(تنظیمات!$O$8+تنظیمات!$O$9))+'کارکرد '!I10),('کارکرد '!P10*تنظیمات!$O$10*1.5)+('کارکرد '!O10*تنظیمات!$O$8)+('کارکرد '!N10*تنظیمات!$O$8*1.5)+('کارکرد '!M10*(تنظیمات!$O$8+تنظیمات!$O$9))+('کارکرد '!L10*(تنظیمات!$O$8+تنظیمات!$O$9)*1.5)+'کارکرد '!I10)</f>
        <v>0</v>
      </c>
      <c r="H10" s="57" t="str">
        <f>IFERROR(INDEX(دیتا!$K$2:$T$26,MATCH('کارکرد '!C10,دیتا!$K$2:$K$26,0),9),"")</f>
        <v/>
      </c>
      <c r="I10" s="20"/>
      <c r="J10" s="3">
        <f>'برنامه فروردین'!AP11</f>
        <v>0</v>
      </c>
      <c r="K10" s="3">
        <f>'برنامه فروردین'!AO11</f>
        <v>0</v>
      </c>
      <c r="L10" s="3">
        <f>COUNTIFS('برنامه فروردین'!G11:AK11,"=me",'برنامه فروردین'!G3:AK3,"&lt;&gt;")</f>
        <v>0</v>
      </c>
      <c r="M10" s="3">
        <f>COUNTIFS('برنامه فروردین'!G11:AK11,"=me",'برنامه فروردین'!G3:AK3,"")</f>
        <v>0</v>
      </c>
      <c r="N10" s="3" cm="1">
        <f t="array" ref="N10">SUM(COUNTIFS('برنامه فروردین'!G11:AK11,{"M","MN","E","en"},'برنامه فروردین'!$G$3:$AK$3,"&lt;&gt;"))</f>
        <v>0</v>
      </c>
      <c r="O10" s="3" cm="1">
        <f t="array" ref="O10">SUM(COUNTIFS('برنامه فروردین'!G11:AK11,{"M","MN","E","en"},'برنامه فروردین'!$G$3:$AK$3,""))</f>
        <v>0</v>
      </c>
      <c r="P10" s="3">
        <f>'برنامه فروردین'!AN11</f>
        <v>0</v>
      </c>
      <c r="Q10" s="3">
        <f t="shared" si="3"/>
        <v>27</v>
      </c>
      <c r="R10" s="62"/>
    </row>
    <row r="11" spans="1:26" ht="15" customHeight="1">
      <c r="A11" s="62"/>
      <c r="B11" s="6">
        <v>8</v>
      </c>
      <c r="C11" s="18" t="str">
        <f>'برنامه فروردین'!F12</f>
        <v>دکتر محسن</v>
      </c>
      <c r="D11" s="58">
        <f t="shared" si="2"/>
        <v>197.99100000000001</v>
      </c>
      <c r="E11" s="58" t="str">
        <f t="shared" si="0"/>
        <v/>
      </c>
      <c r="F11" s="58">
        <f t="shared" si="1"/>
        <v>182.25</v>
      </c>
      <c r="G11" s="58">
        <f>IF(OR(H11=44,H11=""),(('کارکرد '!P11*تنظیمات!$O$10)+('کارکرد '!O11*تنظیمات!$O$8)+('کارکرد '!N11*تنظیمات!$O$8)+('کارکرد '!M11*(تنظیمات!$O$8+تنظیمات!$O$9))+('کارکرد '!L11*(تنظیمات!$O$8+تنظیمات!$O$9))+'کارکرد '!I11),('کارکرد '!P11*تنظیمات!$O$10*1.5)+('کارکرد '!O11*تنظیمات!$O$8)+('کارکرد '!N11*تنظیمات!$O$8*1.5)+('کارکرد '!M11*(تنظیمات!$O$8+تنظیمات!$O$9))+('کارکرد '!L11*(تنظیمات!$O$8+تنظیمات!$O$9)*1.5)+'کارکرد '!I11)</f>
        <v>174</v>
      </c>
      <c r="H11" s="58">
        <f>IFERROR(INDEX(دیتا!$K$2:$T$26,MATCH('کارکرد '!C11,دیتا!$K$2:$K$26,0),9),"")</f>
        <v>40.5</v>
      </c>
      <c r="I11" s="56"/>
      <c r="J11" s="7">
        <f>'برنامه فروردین'!AP12</f>
        <v>0</v>
      </c>
      <c r="K11" s="7">
        <f>'برنامه فروردین'!AO12</f>
        <v>0</v>
      </c>
      <c r="L11" s="7">
        <f>COUNTIFS('برنامه فروردین'!G12:AK12,"=me",'برنامه فروردین'!G3:AK3,"&lt;&gt;")</f>
        <v>0</v>
      </c>
      <c r="M11" s="7">
        <f>COUNTIFS('برنامه فروردین'!G12:AK12,"=me",'برنامه فروردین'!G3:AK3,"")</f>
        <v>0</v>
      </c>
      <c r="N11" s="7" cm="1">
        <f t="array" ref="N11">SUM(COUNTIFS('برنامه فروردین'!G12:AK12,{"M","MN","E","en"},'برنامه فروردین'!$G$3:$AK$3,"&lt;&gt;"))</f>
        <v>2</v>
      </c>
      <c r="O11" s="7" cm="1">
        <f t="array" ref="O11">SUM(COUNTIFS('برنامه فروردین'!G12:AK12,{"M","MN","E","en"},'برنامه فروردین'!$G$3:$AK$3,""))</f>
        <v>8</v>
      </c>
      <c r="P11" s="7">
        <f>'برنامه فروردین'!AN12</f>
        <v>6</v>
      </c>
      <c r="Q11" s="7">
        <f t="shared" si="3"/>
        <v>27</v>
      </c>
      <c r="R11" s="62"/>
    </row>
    <row r="12" spans="1:26" ht="15" customHeight="1">
      <c r="A12" s="62"/>
      <c r="B12" s="59">
        <v>9</v>
      </c>
      <c r="C12" s="61" t="str">
        <f>'برنامه فروردین'!F13</f>
        <v/>
      </c>
      <c r="D12" s="57" t="str">
        <f t="shared" si="2"/>
        <v/>
      </c>
      <c r="E12" s="57" t="str">
        <f t="shared" si="0"/>
        <v/>
      </c>
      <c r="F12" s="57" t="str">
        <f t="shared" si="1"/>
        <v/>
      </c>
      <c r="G12" s="57">
        <f>IF(OR(H12=44,H12=""),(('کارکرد '!P12*تنظیمات!$O$10)+('کارکرد '!O12*تنظیمات!$O$8)+('کارکرد '!N12*تنظیمات!$O$8)+('کارکرد '!M12*(تنظیمات!$O$8+تنظیمات!$O$9))+('کارکرد '!L12*(تنظیمات!$O$8+تنظیمات!$O$9))+'کارکرد '!I12),('کارکرد '!P12*تنظیمات!$O$10*1.5)+('کارکرد '!O12*تنظیمات!$O$8)+('کارکرد '!N12*تنظیمات!$O$8*1.5)+('کارکرد '!M12*(تنظیمات!$O$8+تنظیمات!$O$9))+('کارکرد '!L12*(تنظیمات!$O$8+تنظیمات!$O$9)*1.5)+'کارکرد '!I12)</f>
        <v>54</v>
      </c>
      <c r="H12" s="57" t="str">
        <f>IFERROR(INDEX(دیتا!$K$2:$T$26,MATCH('کارکرد '!C12,دیتا!$K$2:$K$26,0),9),"")</f>
        <v/>
      </c>
      <c r="I12" s="20"/>
      <c r="J12" s="3">
        <f>'برنامه فروردین'!AP13</f>
        <v>0</v>
      </c>
      <c r="K12" s="3">
        <f>'برنامه فروردین'!AO13</f>
        <v>0</v>
      </c>
      <c r="L12" s="3">
        <f>COUNTIFS('برنامه فروردین'!G13:AK13,"=me",'برنامه فروردین'!G3:AK3,"&lt;&gt;")</f>
        <v>0</v>
      </c>
      <c r="M12" s="3">
        <f>COUNTIFS('برنامه فروردین'!G13:AK13,"=me",'برنامه فروردین'!G3:AK3,"")</f>
        <v>0</v>
      </c>
      <c r="N12" s="3" cm="1">
        <f t="array" ref="N12">SUM(COUNTIFS('برنامه فروردین'!G13:AK13,{"M","MN","E","en"},'برنامه فروردین'!$G$3:$AK$3,"&lt;&gt;"))</f>
        <v>0</v>
      </c>
      <c r="O12" s="3" cm="1">
        <f t="array" ref="O12">SUM(COUNTIFS('برنامه فروردین'!G13:AK13,{"M","MN","E","en"},'برنامه فروردین'!$G$3:$AK$3,""))</f>
        <v>5</v>
      </c>
      <c r="P12" s="3">
        <f>'برنامه فروردین'!AN13</f>
        <v>2</v>
      </c>
      <c r="Q12" s="3">
        <f t="shared" si="3"/>
        <v>27</v>
      </c>
      <c r="R12" s="62"/>
    </row>
    <row r="13" spans="1:26" ht="15" customHeight="1">
      <c r="A13" s="62"/>
      <c r="B13" s="6">
        <v>10</v>
      </c>
      <c r="C13" s="18" t="str">
        <f>'برنامه فروردین'!F14</f>
        <v/>
      </c>
      <c r="D13" s="58" t="str">
        <f t="shared" si="2"/>
        <v/>
      </c>
      <c r="E13" s="58" t="str">
        <f t="shared" si="0"/>
        <v/>
      </c>
      <c r="F13" s="58" t="str">
        <f t="shared" si="1"/>
        <v/>
      </c>
      <c r="G13" s="58">
        <f>IF(OR(H13=44,H13=""),(('کارکرد '!P13*تنظیمات!$O$10)+('کارکرد '!O13*تنظیمات!$O$8)+('کارکرد '!N13*تنظیمات!$O$8)+('کارکرد '!M13*(تنظیمات!$O$8+تنظیمات!$O$9))+('کارکرد '!L13*(تنظیمات!$O$8+تنظیمات!$O$9))+'کارکرد '!I13),('کارکرد '!P13*تنظیمات!$O$10*1.5)+('کارکرد '!O13*تنظیمات!$O$8)+('کارکرد '!N13*تنظیمات!$O$8*1.5)+('کارکرد '!M13*(تنظیمات!$O$8+تنظیمات!$O$9))+('کارکرد '!L13*(تنظیمات!$O$8+تنظیمات!$O$9)*1.5)+'کارکرد '!I13)</f>
        <v>126</v>
      </c>
      <c r="H13" s="58" t="str">
        <f>IFERROR(INDEX(دیتا!$K$2:$T$26,MATCH('کارکرد '!C13,دیتا!$K$2:$K$26,0),9),"")</f>
        <v/>
      </c>
      <c r="I13" s="56"/>
      <c r="J13" s="7">
        <f>'برنامه فروردین'!AP14</f>
        <v>0</v>
      </c>
      <c r="K13" s="7">
        <f>'برنامه فروردین'!AO14</f>
        <v>0</v>
      </c>
      <c r="L13" s="7">
        <f>COUNTIFS('برنامه فروردین'!G14:AK14,"=me",'برنامه فروردین'!G3:AK3,"&lt;&gt;")</f>
        <v>0</v>
      </c>
      <c r="M13" s="7">
        <f>COUNTIFS('برنامه فروردین'!G14:AK14,"=me",'برنامه فروردین'!G3:AK3,"")</f>
        <v>3</v>
      </c>
      <c r="N13" s="7" cm="1">
        <f t="array" ref="N13">SUM(COUNTIFS('برنامه فروردین'!G14:AK14,{"M","MN","E","en"},'برنامه فروردین'!$G$3:$AK$3,"&lt;&gt;"))</f>
        <v>0</v>
      </c>
      <c r="O13" s="7" cm="1">
        <f t="array" ref="O13">SUM(COUNTIFS('برنامه فروردین'!G14:AK14,{"M","MN","E","en"},'برنامه فروردین'!$G$3:$AK$3,""))</f>
        <v>15</v>
      </c>
      <c r="P13" s="7">
        <f>'برنامه فروردین'!AN14</f>
        <v>0</v>
      </c>
      <c r="Q13" s="7">
        <f t="shared" si="3"/>
        <v>27</v>
      </c>
      <c r="R13" s="62"/>
    </row>
    <row r="14" spans="1:26" ht="15" customHeight="1">
      <c r="A14" s="62"/>
      <c r="B14" s="59">
        <v>11</v>
      </c>
      <c r="C14" s="61" t="str">
        <f>'برنامه فروردین'!F15</f>
        <v>دکتر عاطفه</v>
      </c>
      <c r="D14" s="57">
        <f t="shared" si="2"/>
        <v>197.99100000000001</v>
      </c>
      <c r="E14" s="57" t="str">
        <f t="shared" si="0"/>
        <v/>
      </c>
      <c r="F14" s="57">
        <f t="shared" si="1"/>
        <v>182.25</v>
      </c>
      <c r="G14" s="57">
        <f>IF(OR(H14=44,H14=""),(('کارکرد '!P14*تنظیمات!$O$10)+('کارکرد '!O14*تنظیمات!$O$8)+('کارکرد '!N14*تنظیمات!$O$8)+('کارکرد '!M14*(تنظیمات!$O$8+تنظیمات!$O$9))+('کارکرد '!L14*(تنظیمات!$O$8+تنظیمات!$O$9))+'کارکرد '!I14),('کارکرد '!P14*تنظیمات!$O$10*1.5)+('کارکرد '!O14*تنظیمات!$O$8)+('کارکرد '!N14*تنظیمات!$O$8*1.5)+('کارکرد '!M14*(تنظیمات!$O$8+تنظیمات!$O$9))+('کارکرد '!L14*(تنظیمات!$O$8+تنظیمات!$O$9)*1.5)+'کارکرد '!I14)</f>
        <v>0</v>
      </c>
      <c r="H14" s="57">
        <f>IFERROR(INDEX(دیتا!$K$2:$T$26,MATCH('کارکرد '!C14,دیتا!$K$2:$K$26,0),9),"")</f>
        <v>40.5</v>
      </c>
      <c r="I14" s="20"/>
      <c r="J14" s="3">
        <f>'برنامه فروردین'!AP15</f>
        <v>0</v>
      </c>
      <c r="K14" s="3">
        <f>'برنامه فروردین'!AO15</f>
        <v>0</v>
      </c>
      <c r="L14" s="3">
        <f>COUNTIFS('برنامه فروردین'!G15:AK15,"=me",'برنامه فروردین'!G3:AK3,"&lt;&gt;")</f>
        <v>0</v>
      </c>
      <c r="M14" s="3">
        <f>COUNTIFS('برنامه فروردین'!G15:AK15,"=me",'برنامه فروردین'!G3:AK3,"")</f>
        <v>0</v>
      </c>
      <c r="N14" s="3" cm="1">
        <f t="array" ref="N14">SUM(COUNTIFS('برنامه فروردین'!G15:AK15,{"M","MN","E","en"},'برنامه فروردین'!$G$3:$AK$3,"&lt;&gt;"))</f>
        <v>0</v>
      </c>
      <c r="O14" s="3" cm="1">
        <f t="array" ref="O14">SUM(COUNTIFS('برنامه فروردین'!G15:AK15,{"M","MN","E","en"},'برنامه فروردین'!$G$3:$AK$3,""))</f>
        <v>0</v>
      </c>
      <c r="P14" s="3">
        <f>'برنامه فروردین'!AN15</f>
        <v>0</v>
      </c>
      <c r="Q14" s="3">
        <f t="shared" si="3"/>
        <v>27</v>
      </c>
      <c r="R14" s="62"/>
    </row>
    <row r="15" spans="1:26" ht="15" customHeight="1">
      <c r="A15" s="62"/>
      <c r="B15" s="6">
        <v>12</v>
      </c>
      <c r="C15" s="18" t="str">
        <f>'برنامه فروردین'!F16</f>
        <v/>
      </c>
      <c r="D15" s="58" t="str">
        <f t="shared" si="2"/>
        <v/>
      </c>
      <c r="E15" s="58" t="str">
        <f t="shared" si="0"/>
        <v/>
      </c>
      <c r="F15" s="58" t="str">
        <f t="shared" si="1"/>
        <v/>
      </c>
      <c r="G15" s="58">
        <f>IF(OR(H15=44,H15=""),(('کارکرد '!P15*تنظیمات!$O$10)+('کارکرد '!O15*تنظیمات!$O$8)+('کارکرد '!N15*تنظیمات!$O$8)+('کارکرد '!M15*(تنظیمات!$O$8+تنظیمات!$O$9))+('کارکرد '!L15*(تنظیمات!$O$8+تنظیمات!$O$9))+'کارکرد '!I15),('کارکرد '!P15*تنظیمات!$O$10*1.5)+('کارکرد '!O15*تنظیمات!$O$8)+('کارکرد '!N15*تنظیمات!$O$8*1.5)+('کارکرد '!M15*(تنظیمات!$O$8+تنظیمات!$O$9))+('کارکرد '!L15*(تنظیمات!$O$8+تنظیمات!$O$9)*1.5)+'کارکرد '!I15)</f>
        <v>0</v>
      </c>
      <c r="H15" s="58" t="str">
        <f>IFERROR(INDEX(دیتا!$K$2:$T$26,MATCH('کارکرد '!C15,دیتا!$K$2:$K$26,0),9),"")</f>
        <v/>
      </c>
      <c r="I15" s="56"/>
      <c r="J15" s="7">
        <f>'برنامه فروردین'!AP16</f>
        <v>0</v>
      </c>
      <c r="K15" s="7">
        <f>'برنامه فروردین'!AO16</f>
        <v>0</v>
      </c>
      <c r="L15" s="7">
        <f>COUNTIFS('برنامه فروردین'!G16:AK16,"=me",'برنامه فروردین'!G3:AK3,"&lt;&gt;")</f>
        <v>0</v>
      </c>
      <c r="M15" s="7">
        <f>COUNTIFS('برنامه فروردین'!G16:AK16,"=me",'برنامه فروردین'!G3:AK3,"")</f>
        <v>0</v>
      </c>
      <c r="N15" s="7" cm="1">
        <f t="array" ref="N15">SUM(COUNTIFS('برنامه فروردین'!G16:AK16,{"M","MN","E","en"},'برنامه فروردین'!$G$3:$AK$3,"&lt;&gt;"))</f>
        <v>0</v>
      </c>
      <c r="O15" s="7" cm="1">
        <f t="array" ref="O15">SUM(COUNTIFS('برنامه فروردین'!G16:AK16,{"M","MN","E","en"},'برنامه فروردین'!$G$3:$AK$3,""))</f>
        <v>0</v>
      </c>
      <c r="P15" s="7">
        <f>'برنامه فروردین'!AN16</f>
        <v>0</v>
      </c>
      <c r="Q15" s="7">
        <f t="shared" si="3"/>
        <v>27</v>
      </c>
      <c r="R15" s="62"/>
    </row>
    <row r="16" spans="1:26" ht="15" customHeight="1">
      <c r="A16" s="62"/>
      <c r="B16" s="59">
        <v>13</v>
      </c>
      <c r="C16" s="61" t="str">
        <f>'برنامه فروردین'!F17</f>
        <v/>
      </c>
      <c r="D16" s="57" t="str">
        <f t="shared" si="2"/>
        <v/>
      </c>
      <c r="E16" s="57" t="str">
        <f t="shared" si="0"/>
        <v/>
      </c>
      <c r="F16" s="57" t="str">
        <f t="shared" si="1"/>
        <v/>
      </c>
      <c r="G16" s="57">
        <f>IF(OR(H16=44,H16=""),(('کارکرد '!P16*تنظیمات!$O$10)+('کارکرد '!O16*تنظیمات!$O$8)+('کارکرد '!N16*تنظیمات!$O$8)+('کارکرد '!M16*(تنظیمات!$O$8+تنظیمات!$O$9))+('کارکرد '!L16*(تنظیمات!$O$8+تنظیمات!$O$9))+'کارکرد '!I16),('کارکرد '!P16*تنظیمات!$O$10*1.5)+('کارکرد '!O16*تنظیمات!$O$8)+('کارکرد '!N16*تنظیمات!$O$8*1.5)+('کارکرد '!M16*(تنظیمات!$O$8+تنظیمات!$O$9))+('کارکرد '!L16*(تنظیمات!$O$8+تنظیمات!$O$9)*1.5)+'کارکرد '!I16)</f>
        <v>0</v>
      </c>
      <c r="H16" s="57" t="str">
        <f>IFERROR(INDEX(دیتا!$K$2:$T$26,MATCH('کارکرد '!C16,دیتا!$K$2:$K$26,0),9),"")</f>
        <v/>
      </c>
      <c r="I16" s="20"/>
      <c r="J16" s="3">
        <f>'برنامه فروردین'!AP17</f>
        <v>0</v>
      </c>
      <c r="K16" s="3">
        <f>'برنامه فروردین'!AO17</f>
        <v>0</v>
      </c>
      <c r="L16" s="3">
        <f>COUNTIFS('برنامه فروردین'!G17:AK17,"=me",'برنامه فروردین'!G3:AK3,"&lt;&gt;")</f>
        <v>0</v>
      </c>
      <c r="M16" s="3">
        <f>COUNTIFS('برنامه فروردین'!G17:AK17,"=me",'برنامه فروردین'!G3:AK3,"")</f>
        <v>0</v>
      </c>
      <c r="N16" s="3" cm="1">
        <f t="array" ref="N16">SUM(COUNTIFS('برنامه فروردین'!G17:AK17,{"M","MN","E","en"},'برنامه فروردین'!$G$3:$AK$3,"&lt;&gt;"))</f>
        <v>0</v>
      </c>
      <c r="O16" s="3" cm="1">
        <f t="array" ref="O16">SUM(COUNTIFS('برنامه فروردین'!G17:AK17,{"M","MN","E","en"},'برنامه فروردین'!$G$3:$AK$3,""))</f>
        <v>0</v>
      </c>
      <c r="P16" s="3">
        <f>'برنامه فروردین'!AN17</f>
        <v>0</v>
      </c>
      <c r="Q16" s="3">
        <f t="shared" si="3"/>
        <v>27</v>
      </c>
      <c r="R16" s="62"/>
    </row>
    <row r="17" spans="1:26" ht="15" customHeight="1">
      <c r="A17" s="62"/>
      <c r="B17" s="6">
        <v>14</v>
      </c>
      <c r="C17" s="18" t="str">
        <f>'برنامه فروردین'!F18</f>
        <v/>
      </c>
      <c r="D17" s="58" t="str">
        <f t="shared" si="2"/>
        <v/>
      </c>
      <c r="E17" s="58" t="str">
        <f t="shared" si="0"/>
        <v/>
      </c>
      <c r="F17" s="58" t="str">
        <f t="shared" si="1"/>
        <v/>
      </c>
      <c r="G17" s="58">
        <f>IF(OR(H17=44,H17=""),(('کارکرد '!P17*تنظیمات!$O$10)+('کارکرد '!O17*تنظیمات!$O$8)+('کارکرد '!N17*تنظیمات!$O$8)+('کارکرد '!M17*(تنظیمات!$O$8+تنظیمات!$O$9))+('کارکرد '!L17*(تنظیمات!$O$8+تنظیمات!$O$9))+'کارکرد '!I17),('کارکرد '!P17*تنظیمات!$O$10*1.5)+('کارکرد '!O17*تنظیمات!$O$8)+('کارکرد '!N17*تنظیمات!$O$8*1.5)+('کارکرد '!M17*(تنظیمات!$O$8+تنظیمات!$O$9))+('کارکرد '!L17*(تنظیمات!$O$8+تنظیمات!$O$9)*1.5)+'کارکرد '!I17)</f>
        <v>0</v>
      </c>
      <c r="H17" s="58" t="str">
        <f>IFERROR(INDEX(دیتا!$K$2:$T$26,MATCH('کارکرد '!C17,دیتا!$K$2:$K$26,0),9),"")</f>
        <v/>
      </c>
      <c r="I17" s="56"/>
      <c r="J17" s="7">
        <f>'برنامه فروردین'!AP18</f>
        <v>0</v>
      </c>
      <c r="K17" s="7">
        <f>'برنامه فروردین'!AO18</f>
        <v>0</v>
      </c>
      <c r="L17" s="7">
        <f>COUNTIFS('برنامه فروردین'!G18:AK18,"=me",'برنامه فروردین'!G3:AK3,"&lt;&gt;")</f>
        <v>0</v>
      </c>
      <c r="M17" s="7">
        <f>COUNTIFS('برنامه فروردین'!G18:AK18,"=me",'برنامه فروردین'!G3:AK3,"")</f>
        <v>0</v>
      </c>
      <c r="N17" s="7" cm="1">
        <f t="array" ref="N17">SUM(COUNTIFS('برنامه فروردین'!G18:AK18,{"M","MN","E","en"},'برنامه فروردین'!$G$3:$AK$3,"&lt;&gt;"))</f>
        <v>0</v>
      </c>
      <c r="O17" s="7" cm="1">
        <f t="array" ref="O17">SUM(COUNTIFS('برنامه فروردین'!G18:AK18,{"M","MN","E","en"},'برنامه فروردین'!$G$3:$AK$3,""))</f>
        <v>0</v>
      </c>
      <c r="P17" s="7">
        <f>'برنامه فروردین'!AN18</f>
        <v>0</v>
      </c>
      <c r="Q17" s="7">
        <f t="shared" si="3"/>
        <v>27</v>
      </c>
      <c r="R17" s="62"/>
    </row>
    <row r="18" spans="1:26" ht="15" customHeight="1">
      <c r="A18" s="62"/>
      <c r="B18" s="59">
        <v>15</v>
      </c>
      <c r="C18" s="61" t="str">
        <f>'برنامه فروردین'!F19</f>
        <v/>
      </c>
      <c r="D18" s="57" t="str">
        <f t="shared" si="2"/>
        <v/>
      </c>
      <c r="E18" s="57" t="str">
        <f t="shared" si="0"/>
        <v/>
      </c>
      <c r="F18" s="57" t="str">
        <f t="shared" si="1"/>
        <v/>
      </c>
      <c r="G18" s="57">
        <f>IF(OR(H18=44,H18=""),(('کارکرد '!P18*تنظیمات!$O$10)+('کارکرد '!O18*تنظیمات!$O$8)+('کارکرد '!N18*تنظیمات!$O$8)+('کارکرد '!M18*(تنظیمات!$O$8+تنظیمات!$O$9))+('کارکرد '!L18*(تنظیمات!$O$8+تنظیمات!$O$9))+'کارکرد '!I18),('کارکرد '!P18*تنظیمات!$O$10*1.5)+('کارکرد '!O18*تنظیمات!$O$8)+('کارکرد '!N18*تنظیمات!$O$8*1.5)+('کارکرد '!M18*(تنظیمات!$O$8+تنظیمات!$O$9))+('کارکرد '!L18*(تنظیمات!$O$8+تنظیمات!$O$9)*1.5)+'کارکرد '!I18)</f>
        <v>0</v>
      </c>
      <c r="H18" s="57" t="str">
        <f>IFERROR(INDEX(دیتا!$K$2:$T$26,MATCH('کارکرد '!C18,دیتا!$K$2:$K$26,0),9),"")</f>
        <v/>
      </c>
      <c r="I18" s="20"/>
      <c r="J18" s="3">
        <f>'برنامه فروردین'!AP19</f>
        <v>0</v>
      </c>
      <c r="K18" s="3">
        <f>'برنامه فروردین'!AO19</f>
        <v>0</v>
      </c>
      <c r="L18" s="3">
        <f>COUNTIFS('برنامه فروردین'!G19:AK19,"=me",'برنامه فروردین'!G3:AK3,"&lt;&gt;")</f>
        <v>0</v>
      </c>
      <c r="M18" s="3">
        <f>COUNTIFS('برنامه فروردین'!G19:AK19,"=me",'برنامه فروردین'!G3:AK3,"")</f>
        <v>0</v>
      </c>
      <c r="N18" s="3" cm="1">
        <f t="array" ref="N18">SUM(COUNTIFS('برنامه فروردین'!G19:AK19,{"M","MN","E","en"},'برنامه فروردین'!$G$3:$AK$3,"&lt;&gt;"))</f>
        <v>0</v>
      </c>
      <c r="O18" s="3" cm="1">
        <f t="array" ref="O18">SUM(COUNTIFS('برنامه فروردین'!G19:AK19,{"M","MN","E","en"},'برنامه فروردین'!$G$3:$AK$3,""))</f>
        <v>0</v>
      </c>
      <c r="P18" s="3">
        <f>'برنامه فروردین'!AN19</f>
        <v>0</v>
      </c>
      <c r="Q18" s="3">
        <f t="shared" si="3"/>
        <v>27</v>
      </c>
      <c r="R18" s="62"/>
    </row>
    <row r="19" spans="1:26" ht="15" customHeight="1">
      <c r="A19" s="62"/>
      <c r="B19" s="6">
        <v>16</v>
      </c>
      <c r="C19" s="18" t="str">
        <f>'برنامه فروردین'!F20</f>
        <v/>
      </c>
      <c r="D19" s="58" t="str">
        <f t="shared" si="2"/>
        <v/>
      </c>
      <c r="E19" s="58" t="str">
        <f t="shared" si="0"/>
        <v/>
      </c>
      <c r="F19" s="58" t="str">
        <f t="shared" si="1"/>
        <v/>
      </c>
      <c r="G19" s="58">
        <f>IF(OR(H19=44,H19=""),(('کارکرد '!P19*تنظیمات!$O$10)+('کارکرد '!O19*تنظیمات!$O$8)+('کارکرد '!N19*تنظیمات!$O$8)+('کارکرد '!M19*(تنظیمات!$O$8+تنظیمات!$O$9))+('کارکرد '!L19*(تنظیمات!$O$8+تنظیمات!$O$9))+'کارکرد '!I19),('کارکرد '!P19*تنظیمات!$O$10*1.5)+('کارکرد '!O19*تنظیمات!$O$8)+('کارکرد '!N19*تنظیمات!$O$8*1.5)+('کارکرد '!M19*(تنظیمات!$O$8+تنظیمات!$O$9))+('کارکرد '!L19*(تنظیمات!$O$8+تنظیمات!$O$9)*1.5)+'کارکرد '!I19)</f>
        <v>0</v>
      </c>
      <c r="H19" s="58" t="str">
        <f>IFERROR(INDEX(دیتا!$K$2:$T$26,MATCH('کارکرد '!C19,دیتا!$K$2:$K$26,0),9),"")</f>
        <v/>
      </c>
      <c r="I19" s="56"/>
      <c r="J19" s="7">
        <f>'برنامه فروردین'!AP20</f>
        <v>0</v>
      </c>
      <c r="K19" s="7">
        <f>'برنامه فروردین'!AO20</f>
        <v>0</v>
      </c>
      <c r="L19" s="7">
        <f>COUNTIFS('برنامه فروردین'!G20:AK20,"=me",'برنامه فروردین'!G3:AK3,"&lt;&gt;")</f>
        <v>0</v>
      </c>
      <c r="M19" s="7">
        <f>COUNTIFS('برنامه فروردین'!G20:AK20,"=me",'برنامه فروردین'!G3:AK3,"")</f>
        <v>0</v>
      </c>
      <c r="N19" s="7" cm="1">
        <f t="array" ref="N19">SUM(COUNTIFS('برنامه فروردین'!G20:AK20,{"M","MN","E","en"},'برنامه فروردین'!$G$3:$AK$3,"&lt;&gt;"))</f>
        <v>0</v>
      </c>
      <c r="O19" s="7" cm="1">
        <f t="array" ref="O19">SUM(COUNTIFS('برنامه فروردین'!G20:AK20,{"M","MN","E","en"},'برنامه فروردین'!$G$3:$AK$3,""))</f>
        <v>0</v>
      </c>
      <c r="P19" s="7">
        <f>'برنامه فروردین'!AN20</f>
        <v>0</v>
      </c>
      <c r="Q19" s="7">
        <f t="shared" si="3"/>
        <v>27</v>
      </c>
      <c r="R19" s="62"/>
    </row>
    <row r="20" spans="1:26" ht="15" customHeight="1">
      <c r="A20" s="62"/>
      <c r="B20" s="59">
        <v>17</v>
      </c>
      <c r="C20" s="61" t="str">
        <f>'برنامه فروردین'!F21</f>
        <v/>
      </c>
      <c r="D20" s="57" t="str">
        <f t="shared" si="2"/>
        <v/>
      </c>
      <c r="E20" s="57" t="str">
        <f t="shared" si="0"/>
        <v/>
      </c>
      <c r="F20" s="57" t="str">
        <f t="shared" si="1"/>
        <v/>
      </c>
      <c r="G20" s="57">
        <f>IF(OR(H20=44,H20=""),(('کارکرد '!P20*تنظیمات!$O$10)+('کارکرد '!O20*تنظیمات!$O$8)+('کارکرد '!N20*تنظیمات!$O$8)+('کارکرد '!M20*(تنظیمات!$O$8+تنظیمات!$O$9))+('کارکرد '!L20*(تنظیمات!$O$8+تنظیمات!$O$9))+'کارکرد '!I20),('کارکرد '!P20*تنظیمات!$O$10*1.5)+('کارکرد '!O20*تنظیمات!$O$8)+('کارکرد '!N20*تنظیمات!$O$8*1.5)+('کارکرد '!M20*(تنظیمات!$O$8+تنظیمات!$O$9))+('کارکرد '!L20*(تنظیمات!$O$8+تنظیمات!$O$9)*1.5)+'کارکرد '!I20)</f>
        <v>0</v>
      </c>
      <c r="H20" s="57" t="str">
        <f>IFERROR(INDEX(دیتا!$K$2:$T$26,MATCH('کارکرد '!C20,دیتا!$K$2:$K$26,0),9),"")</f>
        <v/>
      </c>
      <c r="I20" s="20"/>
      <c r="J20" s="3">
        <f>'برنامه فروردین'!AP21</f>
        <v>0</v>
      </c>
      <c r="K20" s="3">
        <f>'برنامه فروردین'!AO21</f>
        <v>0</v>
      </c>
      <c r="L20" s="3">
        <f>COUNTIFS('برنامه فروردین'!G21:AK21,"=me",'برنامه فروردین'!G3:AK3,"&lt;&gt;")</f>
        <v>0</v>
      </c>
      <c r="M20" s="3">
        <f>COUNTIFS('برنامه فروردین'!G21:AK21,"=me",'برنامه فروردین'!G3:AK3,"")</f>
        <v>0</v>
      </c>
      <c r="N20" s="3" cm="1">
        <f t="array" ref="N20">SUM(COUNTIFS('برنامه فروردین'!G21:AK21,{"M","MN","E","en"},'برنامه فروردین'!$G$3:$AK$3,"&lt;&gt;"))</f>
        <v>0</v>
      </c>
      <c r="O20" s="3" cm="1">
        <f t="array" ref="O20">SUM(COUNTIFS('برنامه فروردین'!G21:AK21,{"M","MN","E","en"},'برنامه فروردین'!$G$3:$AK$3,""))</f>
        <v>0</v>
      </c>
      <c r="P20" s="3">
        <f>'برنامه فروردین'!AN21</f>
        <v>0</v>
      </c>
      <c r="Q20" s="3">
        <f t="shared" si="3"/>
        <v>27</v>
      </c>
      <c r="R20" s="62"/>
    </row>
    <row r="21" spans="1:26" ht="15" customHeight="1">
      <c r="A21" s="62"/>
      <c r="B21" s="6">
        <v>18</v>
      </c>
      <c r="C21" s="18" t="str">
        <f>'برنامه فروردین'!F22</f>
        <v/>
      </c>
      <c r="D21" s="58" t="str">
        <f t="shared" si="2"/>
        <v/>
      </c>
      <c r="E21" s="58" t="str">
        <f t="shared" si="0"/>
        <v/>
      </c>
      <c r="F21" s="58" t="str">
        <f t="shared" si="1"/>
        <v/>
      </c>
      <c r="G21" s="58">
        <f>IF(OR(H21=44,H21=""),(('کارکرد '!P21*تنظیمات!$O$10)+('کارکرد '!O21*تنظیمات!$O$8)+('کارکرد '!N21*تنظیمات!$O$8)+('کارکرد '!M21*(تنظیمات!$O$8+تنظیمات!$O$9))+('کارکرد '!L21*(تنظیمات!$O$8+تنظیمات!$O$9))+'کارکرد '!I21),('کارکرد '!P21*تنظیمات!$O$10*1.5)+('کارکرد '!O21*تنظیمات!$O$8)+('کارکرد '!N21*تنظیمات!$O$8*1.5)+('کارکرد '!M21*(تنظیمات!$O$8+تنظیمات!$O$9))+('کارکرد '!L21*(تنظیمات!$O$8+تنظیمات!$O$9)*1.5)+'کارکرد '!I21)</f>
        <v>0</v>
      </c>
      <c r="H21" s="58" t="str">
        <f>IFERROR(INDEX(دیتا!$K$2:$T$26,MATCH('کارکرد '!C21,دیتا!$K$2:$K$26,0),9),"")</f>
        <v/>
      </c>
      <c r="I21" s="56"/>
      <c r="J21" s="7">
        <f>'برنامه فروردین'!AP22</f>
        <v>0</v>
      </c>
      <c r="K21" s="7">
        <f>'برنامه فروردین'!AO22</f>
        <v>0</v>
      </c>
      <c r="L21" s="7">
        <f>COUNTIFS('برنامه فروردین'!G22:AK22,"=me",'برنامه فروردین'!G3:AK3,"&lt;&gt;")</f>
        <v>0</v>
      </c>
      <c r="M21" s="7">
        <f>COUNTIFS('برنامه فروردین'!G22:AK22,"=me",'برنامه فروردین'!G3:AK3,"")</f>
        <v>0</v>
      </c>
      <c r="N21" s="7" cm="1">
        <f t="array" ref="N21">SUM(COUNTIFS('برنامه فروردین'!G22:AK22,{"M","MN","E","en"},'برنامه فروردین'!$G$3:$AK$3,"&lt;&gt;"))</f>
        <v>0</v>
      </c>
      <c r="O21" s="7" cm="1">
        <f t="array" ref="O21">SUM(COUNTIFS('برنامه فروردین'!G22:AK22,{"M","MN","E","en"},'برنامه فروردین'!$G$3:$AK$3,""))</f>
        <v>0</v>
      </c>
      <c r="P21" s="7">
        <f>'برنامه فروردین'!AN22</f>
        <v>0</v>
      </c>
      <c r="Q21" s="7">
        <f t="shared" si="3"/>
        <v>27</v>
      </c>
      <c r="R21" s="62"/>
    </row>
    <row r="22" spans="1:26" ht="15" customHeight="1">
      <c r="A22" s="62"/>
      <c r="B22" s="59">
        <v>19</v>
      </c>
      <c r="C22" s="61" t="str">
        <f>'برنامه فروردین'!F23</f>
        <v/>
      </c>
      <c r="D22" s="57" t="str">
        <f t="shared" si="2"/>
        <v/>
      </c>
      <c r="E22" s="57" t="str">
        <f t="shared" si="0"/>
        <v/>
      </c>
      <c r="F22" s="57" t="str">
        <f t="shared" si="1"/>
        <v/>
      </c>
      <c r="G22" s="57">
        <f>IF(OR(H22=44,H22=""),(('کارکرد '!P22*تنظیمات!$O$10)+('کارکرد '!O22*تنظیمات!$O$8)+('کارکرد '!N22*تنظیمات!$O$8)+('کارکرد '!M22*(تنظیمات!$O$8+تنظیمات!$O$9))+('کارکرد '!L22*(تنظیمات!$O$8+تنظیمات!$O$9))+'کارکرد '!I22),('کارکرد '!P22*تنظیمات!$O$10*1.5)+('کارکرد '!O22*تنظیمات!$O$8)+('کارکرد '!N22*تنظیمات!$O$8*1.5)+('کارکرد '!M22*(تنظیمات!$O$8+تنظیمات!$O$9))+('کارکرد '!L22*(تنظیمات!$O$8+تنظیمات!$O$9)*1.5)+'کارکرد '!I22)</f>
        <v>0</v>
      </c>
      <c r="H22" s="57" t="str">
        <f>IFERROR(INDEX(دیتا!$K$2:$T$26,MATCH('کارکرد '!C22,دیتا!$K$2:$K$26,0),9),"")</f>
        <v/>
      </c>
      <c r="I22" s="20"/>
      <c r="J22" s="3">
        <f>'برنامه فروردین'!AP23</f>
        <v>0</v>
      </c>
      <c r="K22" s="3">
        <f>'برنامه فروردین'!AO23</f>
        <v>0</v>
      </c>
      <c r="L22" s="3">
        <f>COUNTIFS('برنامه فروردین'!G23:AK23,"=me",'برنامه فروردین'!G3:AK3,"&lt;&gt;")</f>
        <v>0</v>
      </c>
      <c r="M22" s="3">
        <f>COUNTIFS('برنامه فروردین'!G23:AK23,"=me",'برنامه فروردین'!G3:AK3,"")</f>
        <v>0</v>
      </c>
      <c r="N22" s="3" cm="1">
        <f t="array" ref="N22">SUM(COUNTIFS('برنامه فروردین'!G23:AK23,{"M","MN","E","en"},'برنامه فروردین'!$G$3:$AK$3,"&lt;&gt;"))</f>
        <v>0</v>
      </c>
      <c r="O22" s="3" cm="1">
        <f t="array" ref="O22">SUM(COUNTIFS('برنامه فروردین'!G23:AK23,{"M","MN","E","en"},'برنامه فروردین'!$G$3:$AK$3,""))</f>
        <v>0</v>
      </c>
      <c r="P22" s="3">
        <f>'برنامه فروردین'!AN23</f>
        <v>0</v>
      </c>
      <c r="Q22" s="3">
        <f t="shared" si="3"/>
        <v>27</v>
      </c>
      <c r="R22" s="62"/>
    </row>
    <row r="23" spans="1:26" ht="15" customHeight="1">
      <c r="A23" s="62"/>
      <c r="B23" s="6">
        <v>20</v>
      </c>
      <c r="C23" s="18" t="str">
        <f>'برنامه فروردین'!F24</f>
        <v/>
      </c>
      <c r="D23" s="58" t="str">
        <f t="shared" si="2"/>
        <v/>
      </c>
      <c r="E23" s="58" t="str">
        <f t="shared" si="0"/>
        <v/>
      </c>
      <c r="F23" s="58" t="str">
        <f t="shared" si="1"/>
        <v/>
      </c>
      <c r="G23" s="58">
        <f>IF(OR(H23=44,H23=""),(('کارکرد '!P23*تنظیمات!$O$10)+('کارکرد '!O23*تنظیمات!$O$8)+('کارکرد '!N23*تنظیمات!$O$8)+('کارکرد '!M23*(تنظیمات!$O$8+تنظیمات!$O$9))+('کارکرد '!L23*(تنظیمات!$O$8+تنظیمات!$O$9))+'کارکرد '!I23),('کارکرد '!P23*تنظیمات!$O$10*1.5)+('کارکرد '!O23*تنظیمات!$O$8)+('کارکرد '!N23*تنظیمات!$O$8*1.5)+('کارکرد '!M23*(تنظیمات!$O$8+تنظیمات!$O$9))+('کارکرد '!L23*(تنظیمات!$O$8+تنظیمات!$O$9)*1.5)+'کارکرد '!I23)</f>
        <v>0</v>
      </c>
      <c r="H23" s="58" t="str">
        <f>IFERROR(INDEX(دیتا!$K$2:$T$26,MATCH('کارکرد '!C23,دیتا!$K$2:$K$26,0),9),"")</f>
        <v/>
      </c>
      <c r="I23" s="56"/>
      <c r="J23" s="7">
        <f>'برنامه فروردین'!AP24</f>
        <v>0</v>
      </c>
      <c r="K23" s="7">
        <f>'برنامه فروردین'!AO24</f>
        <v>0</v>
      </c>
      <c r="L23" s="7">
        <f>COUNTIFS('برنامه فروردین'!G24:AK24,"=me",'برنامه فروردین'!G3:AK3,"&lt;&gt;")</f>
        <v>0</v>
      </c>
      <c r="M23" s="7">
        <f>COUNTIFS('برنامه فروردین'!G24:AK24,"=me",'برنامه فروردین'!G3:AK3,"")</f>
        <v>0</v>
      </c>
      <c r="N23" s="7" cm="1">
        <f t="array" ref="N23">SUM(COUNTIFS('برنامه فروردین'!G24:AK24,{"M","MN","E","en"},'برنامه فروردین'!$G$3:$AK$3,"&lt;&gt;"))</f>
        <v>0</v>
      </c>
      <c r="O23" s="7" cm="1">
        <f t="array" ref="O23">SUM(COUNTIFS('برنامه فروردین'!G24:AK24,{"M","MN","E","en"},'برنامه فروردین'!$G$3:$AK$3,""))</f>
        <v>0</v>
      </c>
      <c r="P23" s="7">
        <f>'برنامه فروردین'!AN24</f>
        <v>0</v>
      </c>
      <c r="Q23" s="7">
        <f t="shared" si="3"/>
        <v>27</v>
      </c>
      <c r="R23" s="62"/>
    </row>
    <row r="24" spans="1:26" ht="15" customHeight="1">
      <c r="A24" s="62"/>
      <c r="B24" s="59">
        <v>21</v>
      </c>
      <c r="C24" s="61" t="str">
        <f>'برنامه فروردین'!F25</f>
        <v/>
      </c>
      <c r="D24" s="57" t="str">
        <f t="shared" si="2"/>
        <v/>
      </c>
      <c r="E24" s="57" t="str">
        <f t="shared" si="0"/>
        <v/>
      </c>
      <c r="F24" s="57" t="str">
        <f t="shared" si="1"/>
        <v/>
      </c>
      <c r="G24" s="57">
        <f>IF(OR(H24=44,H24=""),(('کارکرد '!P24*تنظیمات!$O$10)+('کارکرد '!O24*تنظیمات!$O$8)+('کارکرد '!N24*تنظیمات!$O$8)+('کارکرد '!M24*(تنظیمات!$O$8+تنظیمات!$O$9))+('کارکرد '!L24*(تنظیمات!$O$8+تنظیمات!$O$9))+'کارکرد '!I24),('کارکرد '!P24*تنظیمات!$O$10*1.5)+('کارکرد '!O24*تنظیمات!$O$8)+('کارکرد '!N24*تنظیمات!$O$8*1.5)+('کارکرد '!M24*(تنظیمات!$O$8+تنظیمات!$O$9))+('کارکرد '!L24*(تنظیمات!$O$8+تنظیمات!$O$9)*1.5)+'کارکرد '!I24)</f>
        <v>0</v>
      </c>
      <c r="H24" s="57" t="str">
        <f>IFERROR(INDEX(دیتا!$K$2:$T$26,MATCH('کارکرد '!C24,دیتا!$K$2:$K$26,0),9),"")</f>
        <v/>
      </c>
      <c r="I24" s="20"/>
      <c r="J24" s="3">
        <f>'برنامه فروردین'!AP25</f>
        <v>0</v>
      </c>
      <c r="K24" s="3">
        <f>'برنامه فروردین'!AO25</f>
        <v>0</v>
      </c>
      <c r="L24" s="3">
        <f>COUNTIFS('برنامه فروردین'!G25:AK25,"=me",'برنامه فروردین'!G3:AK3,"&lt;&gt;")</f>
        <v>0</v>
      </c>
      <c r="M24" s="3">
        <f>COUNTIFS('برنامه فروردین'!G25:AK25,"=me",'برنامه فروردین'!G3:AK3,"")</f>
        <v>0</v>
      </c>
      <c r="N24" s="3" cm="1">
        <f t="array" ref="N24">SUM(COUNTIFS('برنامه فروردین'!G25:AK25,{"M","MN","E","en"},'برنامه فروردین'!$G$3:$AK$3,"&lt;&gt;"))</f>
        <v>0</v>
      </c>
      <c r="O24" s="3" cm="1">
        <f t="array" ref="O24">SUM(COUNTIFS('برنامه فروردین'!G25:AK25,{"M","MN","E","en"},'برنامه فروردین'!$G$3:$AK$3,""))</f>
        <v>0</v>
      </c>
      <c r="P24" s="3">
        <f>'برنامه فروردین'!AN25</f>
        <v>0</v>
      </c>
      <c r="Q24" s="3">
        <f t="shared" si="3"/>
        <v>27</v>
      </c>
      <c r="R24" s="62"/>
    </row>
    <row r="25" spans="1:26" ht="15" customHeight="1">
      <c r="A25" s="62"/>
      <c r="B25" s="6">
        <v>22</v>
      </c>
      <c r="C25" s="18" t="str">
        <f>'برنامه فروردین'!F26</f>
        <v/>
      </c>
      <c r="D25" s="58" t="str">
        <f t="shared" si="2"/>
        <v/>
      </c>
      <c r="E25" s="58" t="str">
        <f t="shared" si="0"/>
        <v/>
      </c>
      <c r="F25" s="58" t="str">
        <f t="shared" si="1"/>
        <v/>
      </c>
      <c r="G25" s="58">
        <f>IF(OR(H25=44,H25=""),(('کارکرد '!P25*تنظیمات!$O$10)+('کارکرد '!O25*تنظیمات!$O$8)+('کارکرد '!N25*تنظیمات!$O$8)+('کارکرد '!M25*(تنظیمات!$O$8+تنظیمات!$O$9))+('کارکرد '!L25*(تنظیمات!$O$8+تنظیمات!$O$9))+'کارکرد '!I25),('کارکرد '!P25*تنظیمات!$O$10*1.5)+('کارکرد '!O25*تنظیمات!$O$8)+('کارکرد '!N25*تنظیمات!$O$8*1.5)+('کارکرد '!M25*(تنظیمات!$O$8+تنظیمات!$O$9))+('کارکرد '!L25*(تنظیمات!$O$8+تنظیمات!$O$9)*1.5)+'کارکرد '!I25)</f>
        <v>0</v>
      </c>
      <c r="H25" s="58" t="str">
        <f>IFERROR(INDEX(دیتا!$K$2:$T$26,MATCH('کارکرد '!C25,دیتا!$K$2:$K$26,0),9),"")</f>
        <v/>
      </c>
      <c r="I25" s="56"/>
      <c r="J25" s="7">
        <f>'برنامه فروردین'!AP26</f>
        <v>0</v>
      </c>
      <c r="K25" s="7">
        <f>'برنامه فروردین'!AO26</f>
        <v>0</v>
      </c>
      <c r="L25" s="7">
        <f>COUNTIFS('برنامه فروردین'!G26:AK26,"=me",'برنامه فروردین'!G3:AK3,"&lt;&gt;")</f>
        <v>0</v>
      </c>
      <c r="M25" s="7">
        <f>COUNTIFS('برنامه فروردین'!G26:AK26,"=me",'برنامه فروردین'!G3:AK3,"")</f>
        <v>0</v>
      </c>
      <c r="N25" s="7" cm="1">
        <f t="array" ref="N25">SUM(COUNTIFS('برنامه فروردین'!G26:AK26,{"M","MN","E","en"},'برنامه فروردین'!$G$3:$AK$3,"&lt;&gt;"))</f>
        <v>0</v>
      </c>
      <c r="O25" s="7" cm="1">
        <f t="array" ref="O25">SUM(COUNTIFS('برنامه فروردین'!G26:AK26,{"M","MN","E","en"},'برنامه فروردین'!$G$3:$AK$3,""))</f>
        <v>0</v>
      </c>
      <c r="P25" s="7">
        <f>'برنامه فروردین'!AN26</f>
        <v>0</v>
      </c>
      <c r="Q25" s="7">
        <f t="shared" si="3"/>
        <v>27</v>
      </c>
      <c r="R25" s="62"/>
    </row>
    <row r="26" spans="1:26" ht="15" customHeight="1">
      <c r="A26" s="62"/>
      <c r="B26" s="59">
        <v>23</v>
      </c>
      <c r="C26" s="60" t="str">
        <f>'برنامه فروردین'!F27</f>
        <v/>
      </c>
      <c r="D26" s="57" t="str">
        <f t="shared" si="2"/>
        <v/>
      </c>
      <c r="E26" s="57" t="str">
        <f t="shared" si="0"/>
        <v/>
      </c>
      <c r="F26" s="57" t="str">
        <f t="shared" si="1"/>
        <v/>
      </c>
      <c r="G26" s="57">
        <f>IF(OR(H26=44,H26=""),(('کارکرد '!P26*تنظیمات!$O$10)+('کارکرد '!O26*تنظیمات!$O$8)+('کارکرد '!N26*تنظیمات!$O$8)+('کارکرد '!M26*(تنظیمات!$O$8+تنظیمات!$O$9))+('کارکرد '!L26*(تنظیمات!$O$8+تنظیمات!$O$9))+'کارکرد '!I26),('کارکرد '!P26*تنظیمات!$O$10*1.5)+('کارکرد '!O26*تنظیمات!$O$8)+('کارکرد '!N26*تنظیمات!$O$8*1.5)+('کارکرد '!M26*(تنظیمات!$O$8+تنظیمات!$O$9))+('کارکرد '!L26*(تنظیمات!$O$8+تنظیمات!$O$9)*1.5)+'کارکرد '!I26)</f>
        <v>0</v>
      </c>
      <c r="H26" s="57" t="str">
        <f>IFERROR(INDEX(دیتا!$K$2:$T$26,MATCH('کارکرد '!C26,دیتا!$K$2:$K$26,0),9),"")</f>
        <v/>
      </c>
      <c r="I26" s="20"/>
      <c r="J26" s="3">
        <f>'برنامه فروردین'!AP27</f>
        <v>0</v>
      </c>
      <c r="K26" s="3">
        <f>'برنامه فروردین'!AO27</f>
        <v>0</v>
      </c>
      <c r="L26" s="3">
        <f>COUNTIFS('برنامه فروردین'!G27:AK27,"=me",'برنامه فروردین'!G3:AK3,"&lt;&gt;")</f>
        <v>0</v>
      </c>
      <c r="M26" s="3">
        <f>COUNTIFS('برنامه فروردین'!G27:AK27,"=me",'برنامه فروردین'!G3:AK3,"")</f>
        <v>0</v>
      </c>
      <c r="N26" s="3" cm="1">
        <f t="array" ref="N26">SUM(COUNTIFS('برنامه فروردین'!G27:AK27,{"M","MN","E","en"},'برنامه فروردین'!$G$3:$AK$3,"&lt;&gt;"))</f>
        <v>0</v>
      </c>
      <c r="O26" s="3" cm="1">
        <f t="array" ref="O26">SUM(COUNTIFS('برنامه فروردین'!G27:AK27,{"M","MN","E","en"},'برنامه فروردین'!$G$3:$AK$3,""))</f>
        <v>0</v>
      </c>
      <c r="P26" s="3">
        <f>'برنامه فروردین'!AN27</f>
        <v>0</v>
      </c>
      <c r="Q26" s="3">
        <f t="shared" si="3"/>
        <v>27</v>
      </c>
      <c r="R26" s="62"/>
    </row>
    <row r="27" spans="1:26" ht="15" customHeight="1">
      <c r="A27" s="62"/>
      <c r="B27" s="6">
        <v>24</v>
      </c>
      <c r="C27" s="19" t="str">
        <f>'برنامه فروردین'!F28</f>
        <v/>
      </c>
      <c r="D27" s="58" t="str">
        <f t="shared" si="2"/>
        <v/>
      </c>
      <c r="E27" s="58" t="str">
        <f t="shared" si="0"/>
        <v/>
      </c>
      <c r="F27" s="58" t="str">
        <f t="shared" si="1"/>
        <v/>
      </c>
      <c r="G27" s="58">
        <f>IF(OR(H27=44,H27=""),(('کارکرد '!P27*تنظیمات!$O$10)+('کارکرد '!O27*تنظیمات!$O$8)+('کارکرد '!N27*تنظیمات!$O$8)+('کارکرد '!M27*(تنظیمات!$O$8+تنظیمات!$O$9))+('کارکرد '!L27*(تنظیمات!$O$8+تنظیمات!$O$9))+'کارکرد '!I27),('کارکرد '!P27*تنظیمات!$O$10*1.5)+('کارکرد '!O27*تنظیمات!$O$8)+('کارکرد '!N27*تنظیمات!$O$8*1.5)+('کارکرد '!M27*(تنظیمات!$O$8+تنظیمات!$O$9))+('کارکرد '!L27*(تنظیمات!$O$8+تنظیمات!$O$9)*1.5)+'کارکرد '!I27)</f>
        <v>0</v>
      </c>
      <c r="H27" s="58" t="str">
        <f>IFERROR(INDEX(دیتا!$K$2:$T$26,MATCH('کارکرد '!C27,دیتا!$K$2:$K$26,0),9),"")</f>
        <v/>
      </c>
      <c r="I27" s="56"/>
      <c r="J27" s="7">
        <f>'برنامه فروردین'!AP28</f>
        <v>0</v>
      </c>
      <c r="K27" s="7">
        <f>'برنامه فروردین'!AO28</f>
        <v>0</v>
      </c>
      <c r="L27" s="7">
        <f>COUNTIFS('برنامه فروردین'!G28:AK28,"=me",'برنامه فروردین'!G3:AK3,"&lt;&gt;")</f>
        <v>0</v>
      </c>
      <c r="M27" s="7">
        <f>COUNTIFS('برنامه فروردین'!G28:AK28,"=me",'برنامه فروردین'!G3:AK3,"")</f>
        <v>0</v>
      </c>
      <c r="N27" s="7" cm="1">
        <f t="array" ref="N27">SUM(COUNTIFS('برنامه فروردین'!G28:AK28,{"M","MN","E","en"},'برنامه فروردین'!$G$3:$AK$3,"&lt;&gt;"))</f>
        <v>0</v>
      </c>
      <c r="O27" s="7" cm="1">
        <f t="array" ref="O27">SUM(COUNTIFS('برنامه فروردین'!G28:AK28,{"M","MN","E","en"},'برنامه فروردین'!$G$3:$AK$3,""))</f>
        <v>0</v>
      </c>
      <c r="P27" s="7">
        <f>'برنامه فروردین'!AN28</f>
        <v>0</v>
      </c>
      <c r="Q27" s="7">
        <f t="shared" si="3"/>
        <v>27</v>
      </c>
      <c r="R27" s="62"/>
    </row>
    <row r="28" spans="1:26" ht="15" customHeight="1">
      <c r="A28" s="62"/>
      <c r="B28" s="59">
        <v>25</v>
      </c>
      <c r="C28" s="61" t="str">
        <f>'برنامه فروردین'!F29</f>
        <v/>
      </c>
      <c r="D28" s="57" t="str">
        <f t="shared" si="2"/>
        <v/>
      </c>
      <c r="E28" s="57" t="str">
        <f t="shared" si="0"/>
        <v/>
      </c>
      <c r="F28" s="57" t="str">
        <f t="shared" si="1"/>
        <v/>
      </c>
      <c r="G28" s="57">
        <f>IF(OR(H28=44,H28=""),(('کارکرد '!P28*تنظیمات!$O$10)+('کارکرد '!O28*تنظیمات!$O$8)+('کارکرد '!N28*تنظیمات!$O$8)+('کارکرد '!M28*(تنظیمات!$O$8+تنظیمات!$O$9))+('کارکرد '!L28*(تنظیمات!$O$8+تنظیمات!$O$9))+'کارکرد '!I28),('کارکرد '!P28*تنظیمات!$O$10*1.5)+('کارکرد '!O28*تنظیمات!$O$8)+('کارکرد '!N28*تنظیمات!$O$8*1.5)+('کارکرد '!M28*(تنظیمات!$O$8+تنظیمات!$O$9))+('کارکرد '!L28*(تنظیمات!$O$8+تنظیمات!$O$9)*1.5)+'کارکرد '!I28)</f>
        <v>0</v>
      </c>
      <c r="H28" s="57" t="str">
        <f>IFERROR(INDEX(دیتا!$K$2:$T$26,MATCH('کارکرد '!C28,دیتا!$K$2:$K$26,0),9),"")</f>
        <v/>
      </c>
      <c r="I28" s="20"/>
      <c r="J28" s="3">
        <f>'برنامه فروردین'!AP29</f>
        <v>0</v>
      </c>
      <c r="K28" s="3">
        <f>'برنامه فروردین'!AO29</f>
        <v>0</v>
      </c>
      <c r="L28" s="3">
        <f>COUNTIFS('برنامه فروردین'!G29:AK29,"=me",'برنامه فروردین'!G3:AK3,"&lt;&gt;")</f>
        <v>0</v>
      </c>
      <c r="M28" s="3">
        <f>COUNTIFS('برنامه فروردین'!G29:AK29,"=me",'برنامه فروردین'!G3:AK3,"")</f>
        <v>0</v>
      </c>
      <c r="N28" s="3" cm="1">
        <f t="array" ref="N28">SUM(COUNTIFS('برنامه فروردین'!G29:AK29,{"M","MN","E","en"},'برنامه فروردین'!$G$3:$AK$3,"&lt;&gt;"))</f>
        <v>0</v>
      </c>
      <c r="O28" s="3" cm="1">
        <f t="array" ref="O28">SUM(COUNTIFS('برنامه فروردین'!G29:AK29,{"M","MN","E","en"},'برنامه فروردین'!$G$3:$AK$3,""))</f>
        <v>0</v>
      </c>
      <c r="P28" s="3">
        <f>'برنامه فروردین'!AN29</f>
        <v>0</v>
      </c>
      <c r="Q28" s="3">
        <f t="shared" si="3"/>
        <v>27</v>
      </c>
      <c r="R28" s="62"/>
    </row>
    <row r="29" spans="1:26" ht="18" customHeight="1" thickBot="1">
      <c r="A29" s="62"/>
      <c r="B29" s="8" t="s">
        <v>38</v>
      </c>
      <c r="C29" s="10" t="s">
        <v>5</v>
      </c>
      <c r="D29" s="11">
        <f t="shared" ref="D29:P29" si="4">SUM(D4:D28)</f>
        <v>975.28899999999999</v>
      </c>
      <c r="E29" s="11" t="str">
        <f t="shared" si="0"/>
        <v/>
      </c>
      <c r="F29" s="11">
        <f>SUM(F4:F28)</f>
        <v>909.33333333333326</v>
      </c>
      <c r="G29" s="11">
        <f>SUM(G4:G28)</f>
        <v>879</v>
      </c>
      <c r="H29" s="11">
        <f t="shared" si="4"/>
        <v>205</v>
      </c>
      <c r="I29" s="11">
        <f t="shared" si="4"/>
        <v>0</v>
      </c>
      <c r="J29" s="11">
        <f t="shared" si="4"/>
        <v>0</v>
      </c>
      <c r="K29" s="11">
        <f t="shared" si="4"/>
        <v>2</v>
      </c>
      <c r="L29" s="11">
        <f t="shared" si="4"/>
        <v>0</v>
      </c>
      <c r="M29" s="11">
        <f t="shared" si="4"/>
        <v>3</v>
      </c>
      <c r="N29" s="11">
        <f t="shared" si="4"/>
        <v>8</v>
      </c>
      <c r="O29" s="11">
        <f t="shared" si="4"/>
        <v>47</v>
      </c>
      <c r="P29" s="11">
        <f t="shared" si="4"/>
        <v>31</v>
      </c>
      <c r="Q29" s="11"/>
      <c r="R29" s="62"/>
    </row>
    <row r="30" spans="1:26" ht="15.75" customHeight="1" thickBot="1">
      <c r="A30" s="62"/>
      <c r="B30" s="283" t="s">
        <v>42</v>
      </c>
      <c r="C30" s="296"/>
      <c r="D30" s="283" t="s">
        <v>9</v>
      </c>
      <c r="E30" s="284"/>
      <c r="F30" s="287" t="s">
        <v>35</v>
      </c>
      <c r="G30" s="288"/>
      <c r="H30" s="297" t="s">
        <v>41</v>
      </c>
      <c r="I30" s="298"/>
      <c r="J30" s="298"/>
      <c r="K30" s="299"/>
      <c r="L30" s="62"/>
      <c r="M30" s="281" t="s">
        <v>170</v>
      </c>
      <c r="N30" s="281"/>
      <c r="O30" s="281"/>
      <c r="P30" s="62"/>
      <c r="Q30" s="62"/>
      <c r="R30" s="62"/>
      <c r="V30" s="1"/>
      <c r="W30" s="1"/>
    </row>
    <row r="31" spans="1:26" ht="16.5" customHeight="1" thickTop="1" thickBot="1">
      <c r="A31" s="62"/>
      <c r="B31" s="277">
        <f>COUNTIF(F4:F28,"&gt;85")</f>
        <v>5</v>
      </c>
      <c r="C31" s="278"/>
      <c r="D31" s="285">
        <f>H31/B31</f>
        <v>4.2833333333333368</v>
      </c>
      <c r="E31" s="286"/>
      <c r="F31" s="285">
        <f>AVERAGE(H4:H28)</f>
        <v>41</v>
      </c>
      <c r="G31" s="286"/>
      <c r="H31" s="277">
        <f>SUMIF(F4:F28,"&gt;85",E4:E28)</f>
        <v>21.416666666666686</v>
      </c>
      <c r="I31" s="278"/>
      <c r="J31" s="278"/>
      <c r="K31" s="289"/>
      <c r="L31" s="62"/>
      <c r="M31" s="282"/>
      <c r="N31" s="282"/>
      <c r="O31" s="282"/>
      <c r="P31" s="62"/>
      <c r="Q31" s="62"/>
      <c r="R31" s="62"/>
      <c r="V31" s="1"/>
      <c r="W31" s="1"/>
    </row>
    <row r="32" spans="1:26" ht="16.5" customHeight="1" thickTop="1" thickBot="1">
      <c r="A32" s="62"/>
      <c r="B32" s="279"/>
      <c r="C32" s="280"/>
      <c r="D32" s="285"/>
      <c r="E32" s="286"/>
      <c r="F32" s="285"/>
      <c r="G32" s="286"/>
      <c r="H32" s="279"/>
      <c r="I32" s="280"/>
      <c r="J32" s="280"/>
      <c r="K32" s="290"/>
      <c r="L32" s="62"/>
      <c r="M32" s="291"/>
      <c r="N32" s="291"/>
      <c r="O32" s="291"/>
      <c r="P32" s="63"/>
      <c r="Q32" s="64"/>
      <c r="R32" s="62"/>
      <c r="Z32" s="21"/>
    </row>
    <row r="33" spans="1:26" ht="15" thickTop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Z33" s="21"/>
    </row>
    <row r="34" spans="1:26" ht="15" customHeight="1">
      <c r="A34" s="275" t="str">
        <f>"مسئول کارگزینی بیمارستان: "&amp;تنظیمات!O18</f>
        <v xml:space="preserve">مسئول کارگزینی بیمارستان: </v>
      </c>
      <c r="B34" s="275"/>
      <c r="C34" s="275"/>
      <c r="D34" s="275"/>
      <c r="E34" s="275"/>
      <c r="F34" s="276" t="str">
        <f xml:space="preserve"> "مدیر بیمارستان: "&amp;تنظیمات!O16</f>
        <v xml:space="preserve">مدیر بیمارستان: </v>
      </c>
      <c r="G34" s="276"/>
      <c r="H34" s="276"/>
      <c r="I34" s="276"/>
      <c r="J34" s="276"/>
      <c r="K34" s="276" t="str">
        <f>"رییس بیمارستان: "&amp;تنظیمات!O15</f>
        <v xml:space="preserve">رییس بیمارستان: </v>
      </c>
      <c r="L34" s="276"/>
      <c r="M34" s="276"/>
      <c r="N34" s="276"/>
      <c r="O34" s="276"/>
      <c r="P34" s="62"/>
      <c r="Q34" s="62"/>
      <c r="R34" s="64"/>
      <c r="Z34" s="21"/>
    </row>
    <row r="35" spans="1:26" ht="15" customHeight="1">
      <c r="A35" s="275"/>
      <c r="B35" s="275"/>
      <c r="C35" s="275"/>
      <c r="D35" s="275"/>
      <c r="E35" s="275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62"/>
      <c r="Q35" s="62"/>
      <c r="R35" s="64" t="s">
        <v>36</v>
      </c>
      <c r="Z35" s="21"/>
    </row>
    <row r="36" spans="1:26">
      <c r="Z36" s="21"/>
    </row>
    <row r="37" spans="1:26">
      <c r="Z37" s="21"/>
    </row>
  </sheetData>
  <sheetProtection algorithmName="SHA-512" hashValue="3S0P5Aocf1g77ZRq4I8ckzXsEuJNb6V1WoGedJ7+27d+tavfB1HFB+v6J0Hp08HAN8Eg5cC7XSs8Tw/uioaswQ==" saltValue="N9nBJSdkITKNz0VdLg6eyw==" spinCount="100000" sheet="1" formatCells="0" formatColumns="0" formatRows="0" insertColumns="0" insertRows="0" insertHyperlinks="0" deleteColumns="0" deleteRows="0" sort="0" autoFilter="0" pivotTables="0"/>
  <mergeCells count="17">
    <mergeCell ref="L2:N2"/>
    <mergeCell ref="O2:Q2"/>
    <mergeCell ref="B2:G2"/>
    <mergeCell ref="H2:K2"/>
    <mergeCell ref="B30:C30"/>
    <mergeCell ref="H30:K30"/>
    <mergeCell ref="A34:E35"/>
    <mergeCell ref="F34:J35"/>
    <mergeCell ref="K34:O35"/>
    <mergeCell ref="B31:C32"/>
    <mergeCell ref="M30:O31"/>
    <mergeCell ref="D30:E30"/>
    <mergeCell ref="D31:E32"/>
    <mergeCell ref="F30:G30"/>
    <mergeCell ref="F31:G32"/>
    <mergeCell ref="H31:K32"/>
    <mergeCell ref="M32:O32"/>
  </mergeCells>
  <conditionalFormatting sqref="I4:I28">
    <cfRule type="iconSet" priority="1">
      <iconSet iconSet="3Flags">
        <cfvo type="percent" val="0"/>
        <cfvo type="percent" val="33"/>
        <cfvo type="percent" val="67"/>
      </iconSet>
    </cfRule>
  </conditionalFormatting>
  <dataValidations count="1">
    <dataValidation showInputMessage="1" showErrorMessage="1" sqref="L2:N2" xr:uid="{00000000-0002-0000-0300-000000000000}"/>
  </dataValidations>
  <pageMargins left="0.25" right="0.25" top="0.75" bottom="0.75" header="0.3" footer="0.3"/>
  <pageSetup paperSize="9" scale="85" orientation="landscape" r:id="rId1"/>
  <headerFooter>
    <oddHeader>&amp;C&amp;"B Titr,Regular"(( هو الرزاق ))</oddHeader>
    <oddFooter>&amp;L
&amp;D        &amp;T</oddFooter>
  </headerFooter>
  <ignoredErrors>
    <ignoredError sqref="L2" unlockedFormula="1"/>
  </ignoredErrors>
  <picture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AAA4B553-F46D-447D-87CC-CAF5D94C529A}">
            <x14:iconSet iconSet="3Triangles">
              <x14:cfvo type="percent">
                <xm:f>0</xm:f>
              </x14:cfvo>
              <x14:cfvo type="num">
                <xm:f>80</xm:f>
              </x14:cfvo>
              <x14:cfvo type="num">
                <xm:f>175</xm:f>
              </x14:cfvo>
            </x14:iconSet>
          </x14:cfRule>
          <xm:sqref>E4:E28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'دیتا 2'!$E$1:$E$13</xm:f>
          </x14:formula1>
          <xm:sqref>B3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249977111117893"/>
    <pageSetUpPr fitToPage="1"/>
  </sheetPr>
  <dimension ref="A1:Q36"/>
  <sheetViews>
    <sheetView showGridLines="0" showZeros="0" rightToLeft="1" zoomScale="70" zoomScaleNormal="7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R5" sqref="R5"/>
    </sheetView>
  </sheetViews>
  <sheetFormatPr defaultColWidth="9.109375" defaultRowHeight="14.4"/>
  <cols>
    <col min="1" max="1" width="4.5546875" style="2" customWidth="1"/>
    <col min="2" max="2" width="3.77734375" style="2" customWidth="1"/>
    <col min="3" max="3" width="4.21875" style="2" customWidth="1"/>
    <col min="4" max="4" width="20" style="2" customWidth="1"/>
    <col min="5" max="5" width="18" style="2" customWidth="1"/>
    <col min="6" max="6" width="16.77734375" style="2" customWidth="1"/>
    <col min="7" max="8" width="12.77734375" style="2" customWidth="1"/>
    <col min="9" max="11" width="9.6640625" style="2" customWidth="1"/>
    <col min="12" max="13" width="18.6640625" style="9" customWidth="1"/>
    <col min="14" max="14" width="19.33203125" style="9" customWidth="1"/>
    <col min="15" max="15" width="20" style="9" customWidth="1"/>
    <col min="16" max="16" width="4.5546875" style="2" customWidth="1"/>
    <col min="17" max="16384" width="9.109375" style="2"/>
  </cols>
  <sheetData>
    <row r="1" spans="1:17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6"/>
      <c r="M1" s="66"/>
      <c r="N1" s="66"/>
      <c r="O1" s="66"/>
      <c r="P1" s="62"/>
      <c r="Q1" s="62"/>
    </row>
    <row r="2" spans="1:17" ht="26.25" customHeight="1">
      <c r="A2" s="62"/>
      <c r="B2" s="62"/>
      <c r="C2" s="62"/>
      <c r="D2" s="62"/>
      <c r="E2" s="62"/>
      <c r="F2" s="301" t="s">
        <v>106</v>
      </c>
      <c r="G2" s="301"/>
      <c r="H2" s="301"/>
      <c r="I2" s="301"/>
      <c r="J2" s="301"/>
      <c r="K2" s="301"/>
      <c r="L2" s="301"/>
      <c r="M2" s="301"/>
      <c r="N2" s="66"/>
      <c r="O2" s="66"/>
      <c r="P2" s="62"/>
      <c r="Q2" s="62"/>
    </row>
    <row r="3" spans="1:17" ht="29.25" customHeight="1" thickBot="1">
      <c r="A3" s="62"/>
      <c r="B3" s="62"/>
      <c r="C3" s="62"/>
      <c r="D3" s="62"/>
      <c r="E3" s="62"/>
      <c r="F3" s="302" t="str">
        <f>تنظیمات!F2</f>
        <v>مرکز آموزشی پژوهشی درمانی بیمارستان بنت الهدی</v>
      </c>
      <c r="G3" s="302"/>
      <c r="H3" s="302"/>
      <c r="I3" s="302"/>
      <c r="J3" s="302"/>
      <c r="K3" s="302"/>
      <c r="L3" s="302"/>
      <c r="M3" s="302"/>
      <c r="N3" s="66"/>
      <c r="O3" s="66"/>
      <c r="P3" s="62"/>
      <c r="Q3" s="62"/>
    </row>
    <row r="4" spans="1:17" ht="48" customHeight="1" thickBot="1">
      <c r="A4" s="62"/>
      <c r="B4" s="62"/>
      <c r="C4" s="62"/>
      <c r="D4" s="62"/>
      <c r="E4" s="62"/>
      <c r="F4" s="102"/>
      <c r="G4" s="303" t="str">
        <f>"مبالغ پرداختی جزء حرفه ای و اضافه کار           "&amp;'برنامه شیفت'!V7</f>
        <v>مبالغ پرداختی جزء حرفه ای و اضافه کار           فروردین   ماه   1403</v>
      </c>
      <c r="H4" s="303"/>
      <c r="I4" s="303"/>
      <c r="J4" s="303"/>
      <c r="K4" s="303"/>
      <c r="L4" s="303"/>
      <c r="M4" s="102"/>
      <c r="N4" s="66"/>
      <c r="O4" s="66"/>
      <c r="P4" s="62"/>
      <c r="Q4" s="62"/>
    </row>
    <row r="5" spans="1:17" ht="65.25" customHeight="1">
      <c r="A5" s="62"/>
      <c r="B5" s="62"/>
      <c r="C5" s="103" t="s">
        <v>96</v>
      </c>
      <c r="D5" s="104" t="s">
        <v>56</v>
      </c>
      <c r="E5" s="104" t="s">
        <v>126</v>
      </c>
      <c r="F5" s="104" t="s">
        <v>174</v>
      </c>
      <c r="G5" s="104" t="s">
        <v>57</v>
      </c>
      <c r="H5" s="104" t="s">
        <v>140</v>
      </c>
      <c r="I5" s="104" t="s">
        <v>177</v>
      </c>
      <c r="J5" s="104" t="s">
        <v>175</v>
      </c>
      <c r="K5" s="104" t="s">
        <v>176</v>
      </c>
      <c r="L5" s="105" t="s">
        <v>180</v>
      </c>
      <c r="M5" s="105" t="s">
        <v>181</v>
      </c>
      <c r="N5" s="104" t="s">
        <v>178</v>
      </c>
      <c r="O5" s="106" t="s">
        <v>179</v>
      </c>
      <c r="P5" s="62"/>
      <c r="Q5" s="62"/>
    </row>
    <row r="6" spans="1:17" ht="24.75" customHeight="1">
      <c r="A6" s="62"/>
      <c r="B6" s="62"/>
      <c r="C6" s="107">
        <v>1</v>
      </c>
      <c r="D6" s="108" t="str">
        <f>'برنامه فروردین'!F5</f>
        <v/>
      </c>
      <c r="E6" s="108" t="str">
        <f>'برنامه فروردین'!C5</f>
        <v/>
      </c>
      <c r="F6" s="109" t="str">
        <f>IF(OR('برنامه فروردین'!D5&lt;&gt;"",'برنامه فروردین'!E5&lt;&gt;""),'برنامه فروردین'!D5&amp;"  سال "&amp;'برنامه فروردین'!E5&amp;" ماه ","")</f>
        <v/>
      </c>
      <c r="G6" s="108" t="str">
        <f>'برنامه فروردین'!B5</f>
        <v/>
      </c>
      <c r="H6" s="108">
        <f>IFERROR(INDEX(دیتا!$K$2:$R$26,MATCH(مبالغ!D6,دیتا!$K$2:$K$26,0),8),"")</f>
        <v>0</v>
      </c>
      <c r="I6" s="110">
        <f>'کارکرد '!G4</f>
        <v>0</v>
      </c>
      <c r="J6" s="110" t="str">
        <f>'کارکرد '!D4</f>
        <v/>
      </c>
      <c r="K6" s="110" t="str">
        <f>'کارکرد '!E4</f>
        <v/>
      </c>
      <c r="L6" s="128"/>
      <c r="M6" s="110" t="str">
        <f>IFERROR(((L6/I6)*J6),"")</f>
        <v/>
      </c>
      <c r="N6" s="111" t="str">
        <f>IFERROR(IF(AND(H6=دیتا!$T$3,G6&lt;&gt;دیتا!$I$2),مبالغ!K6*تنظیمات!$O$12,IF(مبالغ!G6=دیتا!$I$2,مبالغ!I6*تنظیمات!$O$13,IF(مبالغ!G6=دیتا!$I$3,K6*تنظیمات!$O$12,IF(K6&gt;60,(K6-60)*تنظیمات!$O$12,"")))),"")</f>
        <v/>
      </c>
      <c r="O6" s="112" t="str">
        <f>IFERROR((N6+M6),"")</f>
        <v/>
      </c>
      <c r="P6" s="62"/>
      <c r="Q6" s="62"/>
    </row>
    <row r="7" spans="1:17">
      <c r="A7" s="62"/>
      <c r="B7" s="62"/>
      <c r="C7" s="113">
        <v>2</v>
      </c>
      <c r="D7" s="114" t="str">
        <f>'برنامه فروردین'!F6</f>
        <v>دکتر علی</v>
      </c>
      <c r="E7" s="114" t="str">
        <f>'برنامه فروردین'!C6</f>
        <v>دکتری عمومی</v>
      </c>
      <c r="F7" s="115" t="str">
        <f>IF(OR('برنامه فروردین'!D6&lt;&gt;"",'برنامه فروردین'!E6&lt;&gt;""),'برنامه فروردین'!D6&amp;"  سال "&amp;'برنامه فروردین'!E6&amp;" ماه ","")</f>
        <v xml:space="preserve">17  سال 2 ماه </v>
      </c>
      <c r="G7" s="114" t="str">
        <f>'برنامه فروردین'!B6</f>
        <v>رسمی</v>
      </c>
      <c r="H7" s="114" t="str">
        <f>IFERROR(INDEX(دیتا!$K$2:$R$26,MATCH(مبالغ!D7,دیتا!$K$2:$K$26,0),8),"")</f>
        <v>❌</v>
      </c>
      <c r="I7" s="116">
        <f>'کارکرد '!G5</f>
        <v>168</v>
      </c>
      <c r="J7" s="116">
        <f>'کارکرد '!D5</f>
        <v>197.99100000000001</v>
      </c>
      <c r="K7" s="116" t="str">
        <f>'کارکرد '!E5</f>
        <v/>
      </c>
      <c r="L7" s="129"/>
      <c r="M7" s="116">
        <f t="shared" ref="M7:M30" si="0">IFERROR(((L7/I7)*J7),"")</f>
        <v>0</v>
      </c>
      <c r="N7" s="117" t="str">
        <f>IFERROR(IF(AND(H7=دیتا!$T$3,G7&lt;&gt;دیتا!$I$2),مبالغ!K7*تنظیمات!$O$12,IF(مبالغ!G7=دیتا!$I$2,مبالغ!I7*تنظیمات!$O$13,IF(مبالغ!G7=دیتا!$I$3,K7*تنظیمات!$O$12,IF(K7&gt;60,(K7-60)*تنظیمات!$O$12,"")))),"")</f>
        <v/>
      </c>
      <c r="O7" s="118" t="str">
        <f t="shared" ref="O7:O30" si="1">IFERROR((N7+M7),"")</f>
        <v/>
      </c>
      <c r="P7" s="62"/>
      <c r="Q7" s="62"/>
    </row>
    <row r="8" spans="1:17">
      <c r="A8" s="62"/>
      <c r="B8" s="62"/>
      <c r="C8" s="107">
        <v>3</v>
      </c>
      <c r="D8" s="108" t="str">
        <f>'برنامه فروردین'!F7</f>
        <v>دکتر خالد</v>
      </c>
      <c r="E8" s="108" t="str">
        <f>'برنامه فروردین'!C7</f>
        <v>دکتری عمومی</v>
      </c>
      <c r="F8" s="109" t="str">
        <f>IF(OR('برنامه فروردین'!D7&lt;&gt;"",'برنامه فروردین'!E7&lt;&gt;""),'برنامه فروردین'!D7&amp;"  سال "&amp;'برنامه فروردین'!E7&amp;" ماه ","")</f>
        <v xml:space="preserve">5  سال 4 ماه </v>
      </c>
      <c r="G8" s="108" t="str">
        <f>'برنامه فروردین'!B7</f>
        <v>پیمانی</v>
      </c>
      <c r="H8" s="108" t="str">
        <f>IFERROR(INDEX(دیتا!$K$2:$R$26,MATCH(مبالغ!D8,دیتا!$K$2:$K$26,0),8),"")</f>
        <v>✔</v>
      </c>
      <c r="I8" s="110">
        <f>'کارکرد '!G6</f>
        <v>186</v>
      </c>
      <c r="J8" s="110">
        <f>'کارکرد '!D6</f>
        <v>183.32500000000002</v>
      </c>
      <c r="K8" s="110">
        <f>'کارکرد '!E6</f>
        <v>21.416666666666686</v>
      </c>
      <c r="L8" s="128" t="s">
        <v>196</v>
      </c>
      <c r="M8" s="110" t="str">
        <f t="shared" si="0"/>
        <v/>
      </c>
      <c r="N8" s="111" t="str">
        <f>IFERROR(IF(AND(H8=دیتا!$T$3,G8&lt;&gt;دیتا!$I$2),مبالغ!K8*تنظیمات!$O$12,IF(مبالغ!G8=دیتا!$I$2,مبالغ!I8*تنظیمات!$O$13,IF(مبالغ!G8=دیتا!$I$3,K8*تنظیمات!$O$12,IF(K8&gt;60,(K8-60)*تنظیمات!$O$12,"")))),"")</f>
        <v/>
      </c>
      <c r="O8" s="112" t="str">
        <f t="shared" si="1"/>
        <v/>
      </c>
      <c r="P8" s="62"/>
      <c r="Q8" s="62"/>
    </row>
    <row r="9" spans="1:17">
      <c r="A9" s="62"/>
      <c r="B9" s="62"/>
      <c r="C9" s="113">
        <v>4</v>
      </c>
      <c r="D9" s="114" t="str">
        <f>'برنامه فروردین'!F8</f>
        <v/>
      </c>
      <c r="E9" s="114" t="str">
        <f>'برنامه فروردین'!C8</f>
        <v/>
      </c>
      <c r="F9" s="115" t="str">
        <f>IF(OR('برنامه فروردین'!D8&lt;&gt;"",'برنامه فروردین'!E8&lt;&gt;""),'برنامه فروردین'!D8&amp;"  سال "&amp;'برنامه فروردین'!E8&amp;" ماه ","")</f>
        <v/>
      </c>
      <c r="G9" s="114" t="str">
        <f>'برنامه فروردین'!B8</f>
        <v/>
      </c>
      <c r="H9" s="114">
        <f>IFERROR(INDEX(دیتا!$K$2:$R$26,MATCH(مبالغ!D9,دیتا!$K$2:$K$26,0),8),"")</f>
        <v>0</v>
      </c>
      <c r="I9" s="116">
        <f>'کارکرد '!G7</f>
        <v>0</v>
      </c>
      <c r="J9" s="116" t="str">
        <f>'کارکرد '!D7</f>
        <v/>
      </c>
      <c r="K9" s="116" t="str">
        <f>'کارکرد '!E7</f>
        <v/>
      </c>
      <c r="L9" s="129"/>
      <c r="M9" s="116" t="str">
        <f t="shared" si="0"/>
        <v/>
      </c>
      <c r="N9" s="117" t="str">
        <f>IFERROR(IF(AND(H9=دیتا!$T$3,G9&lt;&gt;دیتا!$I$2),مبالغ!K9*تنظیمات!$O$12,IF(مبالغ!G9=دیتا!$I$2,مبالغ!I9*تنظیمات!$O$13,IF(مبالغ!G9=دیتا!$I$3,K9*تنظیمات!$O$12,IF(K9&gt;60,(K9-60)*تنظیمات!$O$12,"")))),"")</f>
        <v/>
      </c>
      <c r="O9" s="118" t="str">
        <f t="shared" si="1"/>
        <v/>
      </c>
      <c r="P9" s="62"/>
      <c r="Q9" s="62"/>
    </row>
    <row r="10" spans="1:17">
      <c r="A10" s="62"/>
      <c r="B10" s="62"/>
      <c r="C10" s="107">
        <v>5</v>
      </c>
      <c r="D10" s="108" t="str">
        <f>'برنامه فروردین'!F9</f>
        <v/>
      </c>
      <c r="E10" s="108" t="str">
        <f>'برنامه فروردین'!C9</f>
        <v/>
      </c>
      <c r="F10" s="109" t="str">
        <f>IF(OR('برنامه فروردین'!D9&lt;&gt;"",'برنامه فروردین'!E9&lt;&gt;""),'برنامه فروردین'!D9&amp;"  سال "&amp;'برنامه فروردین'!E9&amp;" ماه ","")</f>
        <v/>
      </c>
      <c r="G10" s="108" t="str">
        <f>'برنامه فروردین'!B9</f>
        <v/>
      </c>
      <c r="H10" s="108">
        <f>IFERROR(INDEX(دیتا!$K$2:$R$26,MATCH(مبالغ!D10,دیتا!$K$2:$K$26,0),8),"")</f>
        <v>0</v>
      </c>
      <c r="I10" s="110">
        <f>'کارکرد '!G8</f>
        <v>6</v>
      </c>
      <c r="J10" s="110" t="str">
        <f>'کارکرد '!D8</f>
        <v/>
      </c>
      <c r="K10" s="110" t="str">
        <f>'کارکرد '!E8</f>
        <v/>
      </c>
      <c r="L10" s="128"/>
      <c r="M10" s="110" t="str">
        <f t="shared" si="0"/>
        <v/>
      </c>
      <c r="N10" s="111" t="str">
        <f>IFERROR(IF(AND(H10=دیتا!$T$3,G10&lt;&gt;دیتا!$I$2),مبالغ!K10*تنظیمات!$O$12,IF(مبالغ!G10=دیتا!$I$2,مبالغ!I10*تنظیمات!$O$13,IF(مبالغ!G10=دیتا!$I$3,K10*تنظیمات!$O$12,IF(K10&gt;60,(K10-60)*تنظیمات!$O$12,"")))),"")</f>
        <v/>
      </c>
      <c r="O10" s="112" t="str">
        <f t="shared" si="1"/>
        <v/>
      </c>
      <c r="P10" s="62"/>
      <c r="Q10" s="62"/>
    </row>
    <row r="11" spans="1:17">
      <c r="A11" s="62"/>
      <c r="B11" s="62"/>
      <c r="C11" s="113">
        <v>6</v>
      </c>
      <c r="D11" s="114" t="str">
        <f>'برنامه فروردین'!F10</f>
        <v>دکتر صبا</v>
      </c>
      <c r="E11" s="114" t="str">
        <f>'برنامه فروردین'!C10</f>
        <v>دکتری عمومی</v>
      </c>
      <c r="F11" s="115" t="str">
        <f>IF(OR('برنامه فروردین'!D10&lt;&gt;"",'برنامه فروردین'!E10&lt;&gt;""),'برنامه فروردین'!D10&amp;"  سال "&amp;'برنامه فروردین'!E10&amp;" ماه ","")</f>
        <v xml:space="preserve">0  سال 12 ماه </v>
      </c>
      <c r="G11" s="114" t="str">
        <f>'برنامه فروردین'!B10</f>
        <v>طرحی</v>
      </c>
      <c r="H11" s="114" t="str">
        <f>IFERROR(INDEX(دیتا!$K$2:$R$26,MATCH(مبالغ!D11,دیتا!$K$2:$K$26,0),8),"")</f>
        <v>✔</v>
      </c>
      <c r="I11" s="116">
        <f>'کارکرد '!G9</f>
        <v>165</v>
      </c>
      <c r="J11" s="116">
        <f>'کارکرد '!D9</f>
        <v>197.99100000000001</v>
      </c>
      <c r="K11" s="116" t="str">
        <f>'کارکرد '!E9</f>
        <v/>
      </c>
      <c r="L11" s="129"/>
      <c r="M11" s="116">
        <f t="shared" si="0"/>
        <v>0</v>
      </c>
      <c r="N11" s="117" t="str">
        <f>IFERROR(IF(AND(H11=دیتا!$T$3,G11&lt;&gt;دیتا!$I$2),مبالغ!K11*تنظیمات!$O$12,IF(مبالغ!G11=دیتا!$I$2,مبالغ!I11*تنظیمات!$O$13,IF(مبالغ!G11=دیتا!$I$3,K11*تنظیمات!$O$12,IF(K11&gt;60,(K11-60)*تنظیمات!$O$12,"")))),"")</f>
        <v/>
      </c>
      <c r="O11" s="118" t="str">
        <f t="shared" si="1"/>
        <v/>
      </c>
      <c r="P11" s="62"/>
      <c r="Q11" s="62"/>
    </row>
    <row r="12" spans="1:17">
      <c r="A12" s="62"/>
      <c r="B12" s="62"/>
      <c r="C12" s="107">
        <v>7</v>
      </c>
      <c r="D12" s="108" t="str">
        <f>'برنامه فروردین'!F11</f>
        <v>دکتر لیلا</v>
      </c>
      <c r="E12" s="108" t="str">
        <f>'برنامه فروردین'!C11</f>
        <v>دکتری عمومی</v>
      </c>
      <c r="F12" s="109" t="str">
        <f>IF(OR('برنامه فروردین'!D11&lt;&gt;"",'برنامه فروردین'!E11&lt;&gt;""),'برنامه فروردین'!D11&amp;"  سال "&amp;'برنامه فروردین'!E11&amp;" ماه ","")</f>
        <v xml:space="preserve">0  سال 7 ماه </v>
      </c>
      <c r="G12" s="108" t="str">
        <f>'برنامه فروردین'!B11</f>
        <v>تفاهمی</v>
      </c>
      <c r="H12" s="108" t="str">
        <f>IFERROR(INDEX(دیتا!$K$2:$R$26,MATCH(مبالغ!D12,دیتا!$K$2:$K$26,0),8),"")</f>
        <v>❌</v>
      </c>
      <c r="I12" s="110">
        <f>'کارکرد '!G10</f>
        <v>0</v>
      </c>
      <c r="J12" s="110" t="str">
        <f>'کارکرد '!D10</f>
        <v/>
      </c>
      <c r="K12" s="110" t="str">
        <f>'کارکرد '!E10</f>
        <v/>
      </c>
      <c r="L12" s="128"/>
      <c r="M12" s="110" t="str">
        <f t="shared" si="0"/>
        <v/>
      </c>
      <c r="N12" s="111">
        <f>IFERROR(IF(AND(H12=دیتا!$T$3,G12&lt;&gt;دیتا!$I$2),مبالغ!K12*تنظیمات!$O$12,IF(مبالغ!G12=دیتا!$I$2,مبالغ!I12*تنظیمات!$O$13,IF(مبالغ!G12=دیتا!$I$3,K12*تنظیمات!$O$12,IF(K12&gt;60,(K12-60)*تنظیمات!$O$12,"")))),"")</f>
        <v>0</v>
      </c>
      <c r="O12" s="112" t="str">
        <f t="shared" si="1"/>
        <v/>
      </c>
      <c r="P12" s="62"/>
      <c r="Q12" s="62"/>
    </row>
    <row r="13" spans="1:17">
      <c r="A13" s="62"/>
      <c r="B13" s="62"/>
      <c r="C13" s="113">
        <v>8</v>
      </c>
      <c r="D13" s="114" t="str">
        <f>'برنامه فروردین'!F12</f>
        <v>دکتر محسن</v>
      </c>
      <c r="E13" s="114" t="str">
        <f>'برنامه فروردین'!C12</f>
        <v>دکتری عمومی</v>
      </c>
      <c r="F13" s="115" t="str">
        <f>IF(OR('برنامه فروردین'!D12&lt;&gt;"",'برنامه فروردین'!E12&lt;&gt;""),'برنامه فروردین'!D12&amp;"  سال "&amp;'برنامه فروردین'!E12&amp;" ماه ","")</f>
        <v xml:space="preserve">0  سال 6 ماه </v>
      </c>
      <c r="G13" s="114" t="str">
        <f>'برنامه فروردین'!B12</f>
        <v>طرحی</v>
      </c>
      <c r="H13" s="114" t="str">
        <f>IFERROR(INDEX(دیتا!$K$2:$R$26,MATCH(مبالغ!D13,دیتا!$K$2:$K$26,0),8),"")</f>
        <v>✔</v>
      </c>
      <c r="I13" s="116">
        <f>'کارکرد '!G11</f>
        <v>174</v>
      </c>
      <c r="J13" s="116">
        <f>'کارکرد '!D11</f>
        <v>197.99100000000001</v>
      </c>
      <c r="K13" s="116" t="str">
        <f>'کارکرد '!E11</f>
        <v/>
      </c>
      <c r="L13" s="129"/>
      <c r="M13" s="116">
        <f t="shared" si="0"/>
        <v>0</v>
      </c>
      <c r="N13" s="117" t="str">
        <f>IFERROR(IF(AND(H13=دیتا!$T$3,G13&lt;&gt;دیتا!$I$2),مبالغ!K13*تنظیمات!$O$12,IF(مبالغ!G13=دیتا!$I$2,مبالغ!I13*تنظیمات!$O$13,IF(مبالغ!G13=دیتا!$I$3,K13*تنظیمات!$O$12,IF(K13&gt;60,(K13-60)*تنظیمات!$O$12,"")))),"")</f>
        <v/>
      </c>
      <c r="O13" s="118" t="str">
        <f t="shared" si="1"/>
        <v/>
      </c>
      <c r="P13" s="62"/>
      <c r="Q13" s="62"/>
    </row>
    <row r="14" spans="1:17">
      <c r="A14" s="62"/>
      <c r="B14" s="62"/>
      <c r="C14" s="107">
        <v>9</v>
      </c>
      <c r="D14" s="108" t="str">
        <f>'برنامه فروردین'!F13</f>
        <v/>
      </c>
      <c r="E14" s="108" t="str">
        <f>'برنامه فروردین'!C13</f>
        <v/>
      </c>
      <c r="F14" s="109" t="str">
        <f>IF(OR('برنامه فروردین'!D13&lt;&gt;"",'برنامه فروردین'!E13&lt;&gt;""),'برنامه فروردین'!D13&amp;"  سال "&amp;'برنامه فروردین'!E13&amp;" ماه ","")</f>
        <v/>
      </c>
      <c r="G14" s="108" t="str">
        <f>'برنامه فروردین'!B13</f>
        <v/>
      </c>
      <c r="H14" s="108">
        <f>IFERROR(INDEX(دیتا!$K$2:$R$26,MATCH(مبالغ!D14,دیتا!$K$2:$K$26,0),8),"")</f>
        <v>0</v>
      </c>
      <c r="I14" s="110">
        <f>'کارکرد '!G12</f>
        <v>54</v>
      </c>
      <c r="J14" s="110" t="str">
        <f>'کارکرد '!D12</f>
        <v/>
      </c>
      <c r="K14" s="110" t="str">
        <f>'کارکرد '!E12</f>
        <v/>
      </c>
      <c r="L14" s="128"/>
      <c r="M14" s="110" t="str">
        <f t="shared" si="0"/>
        <v/>
      </c>
      <c r="N14" s="111" t="str">
        <f>IFERROR(IF(AND(H14=دیتا!$T$3,G14&lt;&gt;دیتا!$I$2),مبالغ!K14*تنظیمات!$O$12,IF(مبالغ!G14=دیتا!$I$2,مبالغ!I14*تنظیمات!$O$13,IF(مبالغ!G14=دیتا!$I$3,K14*تنظیمات!$O$12,IF(K14&gt;60,(K14-60)*تنظیمات!$O$12,"")))),"")</f>
        <v/>
      </c>
      <c r="O14" s="112" t="str">
        <f t="shared" si="1"/>
        <v/>
      </c>
      <c r="P14" s="62"/>
      <c r="Q14" s="62"/>
    </row>
    <row r="15" spans="1:17">
      <c r="A15" s="62"/>
      <c r="B15" s="62"/>
      <c r="C15" s="113">
        <v>10</v>
      </c>
      <c r="D15" s="114" t="str">
        <f>'برنامه فروردین'!F14</f>
        <v/>
      </c>
      <c r="E15" s="114" t="str">
        <f>'برنامه فروردین'!C14</f>
        <v/>
      </c>
      <c r="F15" s="115" t="str">
        <f>IF(OR('برنامه فروردین'!D14&lt;&gt;"",'برنامه فروردین'!E14&lt;&gt;""),'برنامه فروردین'!D14&amp;"  سال "&amp;'برنامه فروردین'!E14&amp;" ماه ","")</f>
        <v/>
      </c>
      <c r="G15" s="114" t="str">
        <f>'برنامه فروردین'!B14</f>
        <v/>
      </c>
      <c r="H15" s="114">
        <f>IFERROR(INDEX(دیتا!$K$2:$R$26,MATCH(مبالغ!D15,دیتا!$K$2:$K$26,0),8),"")</f>
        <v>0</v>
      </c>
      <c r="I15" s="116">
        <f>'کارکرد '!G13</f>
        <v>126</v>
      </c>
      <c r="J15" s="116" t="str">
        <f>'کارکرد '!D13</f>
        <v/>
      </c>
      <c r="K15" s="116" t="str">
        <f>'کارکرد '!E13</f>
        <v/>
      </c>
      <c r="L15" s="129"/>
      <c r="M15" s="116" t="str">
        <f t="shared" si="0"/>
        <v/>
      </c>
      <c r="N15" s="117" t="str">
        <f>IFERROR(IF(AND(H15=دیتا!$T$3,G15&lt;&gt;دیتا!$I$2),مبالغ!K15*تنظیمات!$O$12,IF(مبالغ!G15=دیتا!$I$2,مبالغ!I15*تنظیمات!$O$13,IF(مبالغ!G15=دیتا!$I$3,K15*تنظیمات!$O$12,IF(K15&gt;60,(K15-60)*تنظیمات!$O$12,"")))),"")</f>
        <v/>
      </c>
      <c r="O15" s="118" t="str">
        <f t="shared" si="1"/>
        <v/>
      </c>
      <c r="P15" s="62"/>
      <c r="Q15" s="62"/>
    </row>
    <row r="16" spans="1:17">
      <c r="A16" s="62"/>
      <c r="B16" s="62"/>
      <c r="C16" s="107">
        <v>11</v>
      </c>
      <c r="D16" s="108" t="str">
        <f>'برنامه فروردین'!F15</f>
        <v>دکتر عاطفه</v>
      </c>
      <c r="E16" s="108" t="str">
        <f>'برنامه فروردین'!C15</f>
        <v>دکتری عمومی</v>
      </c>
      <c r="F16" s="109" t="str">
        <f>IF(OR('برنامه فروردین'!D15&lt;&gt;"",'برنامه فروردین'!E15&lt;&gt;""),'برنامه فروردین'!D15&amp;"  سال "&amp;'برنامه فروردین'!E15&amp;" ماه ","")</f>
        <v xml:space="preserve">0  سال 0 ماه </v>
      </c>
      <c r="G16" s="108" t="str">
        <f>'برنامه فروردین'!B15</f>
        <v>قراردادی</v>
      </c>
      <c r="H16" s="108" t="str">
        <f>IFERROR(INDEX(دیتا!$K$2:$R$26,MATCH(مبالغ!D16,دیتا!$K$2:$K$26,0),8),"")</f>
        <v>✔</v>
      </c>
      <c r="I16" s="110">
        <f>'کارکرد '!G14</f>
        <v>0</v>
      </c>
      <c r="J16" s="110">
        <f>'کارکرد '!D14</f>
        <v>197.99100000000001</v>
      </c>
      <c r="K16" s="110" t="str">
        <f>'کارکرد '!E14</f>
        <v/>
      </c>
      <c r="L16" s="128"/>
      <c r="M16" s="110" t="str">
        <f t="shared" si="0"/>
        <v/>
      </c>
      <c r="N16" s="111" t="str">
        <f>IFERROR(IF(AND(H16=دیتا!$T$3,G16&lt;&gt;دیتا!$I$2),مبالغ!K16*تنظیمات!$O$12,IF(مبالغ!G16=دیتا!$I$2,مبالغ!I16*تنظیمات!$O$13,IF(مبالغ!G16=دیتا!$I$3,K16*تنظیمات!$O$12,IF(K16&gt;60,(K16-60)*تنظیمات!$O$12,"")))),"")</f>
        <v/>
      </c>
      <c r="O16" s="112" t="str">
        <f t="shared" si="1"/>
        <v/>
      </c>
      <c r="P16" s="62"/>
      <c r="Q16" s="62"/>
    </row>
    <row r="17" spans="1:17">
      <c r="A17" s="62"/>
      <c r="B17" s="62"/>
      <c r="C17" s="113">
        <v>12</v>
      </c>
      <c r="D17" s="114" t="str">
        <f>'برنامه فروردین'!F16</f>
        <v/>
      </c>
      <c r="E17" s="114" t="str">
        <f>'برنامه فروردین'!C16</f>
        <v/>
      </c>
      <c r="F17" s="115" t="str">
        <f>IF(OR('برنامه فروردین'!D16&lt;&gt;"",'برنامه فروردین'!E16&lt;&gt;""),'برنامه فروردین'!D16&amp;"  سال "&amp;'برنامه فروردین'!E16&amp;" ماه ","")</f>
        <v/>
      </c>
      <c r="G17" s="114" t="str">
        <f>'برنامه فروردین'!B16</f>
        <v/>
      </c>
      <c r="H17" s="114">
        <f>IFERROR(INDEX(دیتا!$K$2:$R$26,MATCH(مبالغ!D17,دیتا!$K$2:$K$26,0),8),"")</f>
        <v>0</v>
      </c>
      <c r="I17" s="116">
        <f>'کارکرد '!G15</f>
        <v>0</v>
      </c>
      <c r="J17" s="116" t="str">
        <f>'کارکرد '!D15</f>
        <v/>
      </c>
      <c r="K17" s="116" t="str">
        <f>'کارکرد '!E15</f>
        <v/>
      </c>
      <c r="L17" s="129"/>
      <c r="M17" s="116" t="str">
        <f t="shared" si="0"/>
        <v/>
      </c>
      <c r="N17" s="117" t="str">
        <f>IFERROR(IF(AND(H17=دیتا!$T$3,G17&lt;&gt;دیتا!$I$2),مبالغ!K17*تنظیمات!$O$12,IF(مبالغ!G17=دیتا!$I$2,مبالغ!I17*تنظیمات!$O$13,IF(مبالغ!G17=دیتا!$I$3,K17*تنظیمات!$O$12,IF(K17&gt;60,(K17-60)*تنظیمات!$O$12,"")))),"")</f>
        <v/>
      </c>
      <c r="O17" s="118" t="str">
        <f t="shared" si="1"/>
        <v/>
      </c>
      <c r="P17" s="62"/>
      <c r="Q17" s="62"/>
    </row>
    <row r="18" spans="1:17">
      <c r="A18" s="62"/>
      <c r="B18" s="62"/>
      <c r="C18" s="107">
        <v>13</v>
      </c>
      <c r="D18" s="108" t="str">
        <f>'برنامه فروردین'!F17</f>
        <v/>
      </c>
      <c r="E18" s="108" t="str">
        <f>'برنامه فروردین'!C17</f>
        <v/>
      </c>
      <c r="F18" s="109" t="str">
        <f>IF(OR('برنامه فروردین'!D17&lt;&gt;"",'برنامه فروردین'!E17&lt;&gt;""),'برنامه فروردین'!D17&amp;"  سال "&amp;'برنامه فروردین'!E17&amp;" ماه ","")</f>
        <v/>
      </c>
      <c r="G18" s="108" t="str">
        <f>'برنامه فروردین'!B17</f>
        <v/>
      </c>
      <c r="H18" s="108">
        <f>IFERROR(INDEX(دیتا!$K$2:$R$26,MATCH(مبالغ!D18,دیتا!$K$2:$K$26,0),8),"")</f>
        <v>0</v>
      </c>
      <c r="I18" s="110">
        <f>'کارکرد '!G16</f>
        <v>0</v>
      </c>
      <c r="J18" s="110" t="str">
        <f>'کارکرد '!D16</f>
        <v/>
      </c>
      <c r="K18" s="110" t="str">
        <f>'کارکرد '!E16</f>
        <v/>
      </c>
      <c r="L18" s="128"/>
      <c r="M18" s="110" t="str">
        <f t="shared" si="0"/>
        <v/>
      </c>
      <c r="N18" s="111" t="str">
        <f>IFERROR(IF(AND(H18=دیتا!$T$3,G18&lt;&gt;دیتا!$I$2),مبالغ!K18*تنظیمات!$O$12,IF(مبالغ!G18=دیتا!$I$2,مبالغ!I18*تنظیمات!$O$13,IF(مبالغ!G18=دیتا!$I$3,K18*تنظیمات!$O$12,IF(K18&gt;60,(K18-60)*تنظیمات!$O$12,"")))),"")</f>
        <v/>
      </c>
      <c r="O18" s="112" t="str">
        <f t="shared" si="1"/>
        <v/>
      </c>
      <c r="P18" s="62"/>
      <c r="Q18" s="62"/>
    </row>
    <row r="19" spans="1:17">
      <c r="A19" s="62"/>
      <c r="B19" s="62"/>
      <c r="C19" s="113">
        <v>14</v>
      </c>
      <c r="D19" s="114" t="str">
        <f>'برنامه فروردین'!F18</f>
        <v/>
      </c>
      <c r="E19" s="114" t="str">
        <f>'برنامه فروردین'!C18</f>
        <v/>
      </c>
      <c r="F19" s="115" t="str">
        <f>IF(OR('برنامه فروردین'!D18&lt;&gt;"",'برنامه فروردین'!E18&lt;&gt;""),'برنامه فروردین'!D18&amp;"  سال "&amp;'برنامه فروردین'!E18&amp;" ماه ","")</f>
        <v/>
      </c>
      <c r="G19" s="114" t="str">
        <f>'برنامه فروردین'!B18</f>
        <v/>
      </c>
      <c r="H19" s="114">
        <f>IFERROR(INDEX(دیتا!$K$2:$R$26,MATCH(مبالغ!D19,دیتا!$K$2:$K$26,0),8),"")</f>
        <v>0</v>
      </c>
      <c r="I19" s="116">
        <f>'کارکرد '!G17</f>
        <v>0</v>
      </c>
      <c r="J19" s="116" t="str">
        <f>'کارکرد '!D17</f>
        <v/>
      </c>
      <c r="K19" s="116" t="str">
        <f>'کارکرد '!E17</f>
        <v/>
      </c>
      <c r="L19" s="129"/>
      <c r="M19" s="116" t="str">
        <f t="shared" si="0"/>
        <v/>
      </c>
      <c r="N19" s="117" t="str">
        <f>IFERROR(IF(AND(H19=دیتا!$T$3,G19&lt;&gt;دیتا!$I$2),مبالغ!K19*تنظیمات!$O$12,IF(مبالغ!G19=دیتا!$I$2,مبالغ!I19*تنظیمات!$O$13,IF(مبالغ!G19=دیتا!$I$3,K19*تنظیمات!$O$12,IF(K19&gt;60,(K19-60)*تنظیمات!$O$12,"")))),"")</f>
        <v/>
      </c>
      <c r="O19" s="118" t="str">
        <f t="shared" si="1"/>
        <v/>
      </c>
      <c r="P19" s="62"/>
      <c r="Q19" s="62"/>
    </row>
    <row r="20" spans="1:17">
      <c r="A20" s="62"/>
      <c r="B20" s="62"/>
      <c r="C20" s="107">
        <v>15</v>
      </c>
      <c r="D20" s="108" t="str">
        <f>'برنامه فروردین'!F19</f>
        <v/>
      </c>
      <c r="E20" s="108" t="str">
        <f>'برنامه فروردین'!C19</f>
        <v/>
      </c>
      <c r="F20" s="109" t="str">
        <f>IF(OR('برنامه فروردین'!D19&lt;&gt;"",'برنامه فروردین'!E19&lt;&gt;""),'برنامه فروردین'!D19&amp;"  سال "&amp;'برنامه فروردین'!E19&amp;" ماه ","")</f>
        <v/>
      </c>
      <c r="G20" s="108" t="str">
        <f>'برنامه فروردین'!B19</f>
        <v/>
      </c>
      <c r="H20" s="108">
        <f>IFERROR(INDEX(دیتا!$K$2:$R$26,MATCH(مبالغ!D20,دیتا!$K$2:$K$26,0),8),"")</f>
        <v>0</v>
      </c>
      <c r="I20" s="110">
        <f>'کارکرد '!G18</f>
        <v>0</v>
      </c>
      <c r="J20" s="110" t="str">
        <f>'کارکرد '!D18</f>
        <v/>
      </c>
      <c r="K20" s="110" t="str">
        <f>'کارکرد '!E18</f>
        <v/>
      </c>
      <c r="L20" s="128"/>
      <c r="M20" s="110" t="str">
        <f t="shared" si="0"/>
        <v/>
      </c>
      <c r="N20" s="111" t="str">
        <f>IFERROR(IF(AND(H20=دیتا!$T$3,G20&lt;&gt;دیتا!$I$2),مبالغ!K20*تنظیمات!$O$12,IF(مبالغ!G20=دیتا!$I$2,مبالغ!I20*تنظیمات!$O$13,IF(مبالغ!G20=دیتا!$I$3,K20*تنظیمات!$O$12,IF(K20&gt;60,(K20-60)*تنظیمات!$O$12,"")))),"")</f>
        <v/>
      </c>
      <c r="O20" s="112" t="str">
        <f t="shared" si="1"/>
        <v/>
      </c>
      <c r="P20" s="62"/>
      <c r="Q20" s="62"/>
    </row>
    <row r="21" spans="1:17">
      <c r="A21" s="62"/>
      <c r="B21" s="62"/>
      <c r="C21" s="113">
        <v>16</v>
      </c>
      <c r="D21" s="114" t="str">
        <f>'برنامه فروردین'!F20</f>
        <v/>
      </c>
      <c r="E21" s="114" t="str">
        <f>'برنامه فروردین'!C20</f>
        <v/>
      </c>
      <c r="F21" s="115" t="str">
        <f>IF(OR('برنامه فروردین'!D20&lt;&gt;"",'برنامه فروردین'!E20&lt;&gt;""),'برنامه فروردین'!D20&amp;"  سال "&amp;'برنامه فروردین'!E20&amp;" ماه ","")</f>
        <v/>
      </c>
      <c r="G21" s="114" t="str">
        <f>'برنامه فروردین'!B20</f>
        <v/>
      </c>
      <c r="H21" s="114">
        <f>IFERROR(INDEX(دیتا!$K$2:$R$26,MATCH(مبالغ!D21,دیتا!$K$2:$K$26,0),8),"")</f>
        <v>0</v>
      </c>
      <c r="I21" s="116">
        <f>'کارکرد '!G19</f>
        <v>0</v>
      </c>
      <c r="J21" s="116" t="str">
        <f>'کارکرد '!D19</f>
        <v/>
      </c>
      <c r="K21" s="116" t="str">
        <f>'کارکرد '!E19</f>
        <v/>
      </c>
      <c r="L21" s="129"/>
      <c r="M21" s="116" t="str">
        <f t="shared" si="0"/>
        <v/>
      </c>
      <c r="N21" s="117" t="str">
        <f>IFERROR(IF(AND(H21=دیتا!$T$3,G21&lt;&gt;دیتا!$I$2),مبالغ!K21*تنظیمات!$O$12,IF(مبالغ!G21=دیتا!$I$2,مبالغ!I21*تنظیمات!$O$13,IF(مبالغ!G21=دیتا!$I$3,K21*تنظیمات!$O$12,IF(K21&gt;60,(K21-60)*تنظیمات!$O$12,"")))),"")</f>
        <v/>
      </c>
      <c r="O21" s="118" t="str">
        <f t="shared" si="1"/>
        <v/>
      </c>
      <c r="P21" s="62"/>
      <c r="Q21" s="62"/>
    </row>
    <row r="22" spans="1:17">
      <c r="A22" s="62"/>
      <c r="B22" s="62"/>
      <c r="C22" s="107">
        <v>17</v>
      </c>
      <c r="D22" s="108" t="str">
        <f>'برنامه فروردین'!F21</f>
        <v/>
      </c>
      <c r="E22" s="108" t="str">
        <f>'برنامه فروردین'!C21</f>
        <v/>
      </c>
      <c r="F22" s="109" t="str">
        <f>IF(OR('برنامه فروردین'!D21&lt;&gt;"",'برنامه فروردین'!E21&lt;&gt;""),'برنامه فروردین'!D21&amp;"  سال "&amp;'برنامه فروردین'!E21&amp;" ماه ","")</f>
        <v/>
      </c>
      <c r="G22" s="108" t="str">
        <f>'برنامه فروردین'!B21</f>
        <v/>
      </c>
      <c r="H22" s="108">
        <f>IFERROR(INDEX(دیتا!$K$2:$R$26,MATCH(مبالغ!D22,دیتا!$K$2:$K$26,0),8),"")</f>
        <v>0</v>
      </c>
      <c r="I22" s="110">
        <f>'کارکرد '!G20</f>
        <v>0</v>
      </c>
      <c r="J22" s="110" t="str">
        <f>'کارکرد '!D20</f>
        <v/>
      </c>
      <c r="K22" s="110" t="str">
        <f>'کارکرد '!E20</f>
        <v/>
      </c>
      <c r="L22" s="128"/>
      <c r="M22" s="110" t="str">
        <f t="shared" si="0"/>
        <v/>
      </c>
      <c r="N22" s="111" t="str">
        <f>IFERROR(IF(AND(H22=دیتا!$T$3,G22&lt;&gt;دیتا!$I$2),مبالغ!K22*تنظیمات!$O$12,IF(مبالغ!G22=دیتا!$I$2,مبالغ!I22*تنظیمات!$O$13,IF(مبالغ!G22=دیتا!$I$3,K22*تنظیمات!$O$12,IF(K22&gt;60,(K22-60)*تنظیمات!$O$12,"")))),"")</f>
        <v/>
      </c>
      <c r="O22" s="112" t="str">
        <f t="shared" si="1"/>
        <v/>
      </c>
      <c r="P22" s="62"/>
      <c r="Q22" s="62"/>
    </row>
    <row r="23" spans="1:17">
      <c r="A23" s="62"/>
      <c r="B23" s="62"/>
      <c r="C23" s="113">
        <v>18</v>
      </c>
      <c r="D23" s="114" t="str">
        <f>'برنامه فروردین'!F22</f>
        <v/>
      </c>
      <c r="E23" s="114" t="str">
        <f>'برنامه فروردین'!C22</f>
        <v/>
      </c>
      <c r="F23" s="115" t="str">
        <f>IF(OR('برنامه فروردین'!D22&lt;&gt;"",'برنامه فروردین'!E22&lt;&gt;""),'برنامه فروردین'!D22&amp;"  سال "&amp;'برنامه فروردین'!E22&amp;" ماه ","")</f>
        <v/>
      </c>
      <c r="G23" s="114" t="str">
        <f>'برنامه فروردین'!B22</f>
        <v/>
      </c>
      <c r="H23" s="114">
        <f>IFERROR(INDEX(دیتا!$K$2:$R$26,MATCH(مبالغ!D23,دیتا!$K$2:$K$26,0),8),"")</f>
        <v>0</v>
      </c>
      <c r="I23" s="116">
        <f>'کارکرد '!G21</f>
        <v>0</v>
      </c>
      <c r="J23" s="116" t="str">
        <f>'کارکرد '!D21</f>
        <v/>
      </c>
      <c r="K23" s="116" t="str">
        <f>'کارکرد '!E21</f>
        <v/>
      </c>
      <c r="L23" s="129"/>
      <c r="M23" s="116" t="str">
        <f t="shared" si="0"/>
        <v/>
      </c>
      <c r="N23" s="117" t="str">
        <f>IFERROR(IF(AND(H23=دیتا!$T$3,G23&lt;&gt;دیتا!$I$2),مبالغ!K23*تنظیمات!$O$12,IF(مبالغ!G23=دیتا!$I$2,مبالغ!I23*تنظیمات!$O$13,IF(مبالغ!G23=دیتا!$I$3,K23*تنظیمات!$O$12,IF(K23&gt;60,(K23-60)*تنظیمات!$O$12,"")))),"")</f>
        <v/>
      </c>
      <c r="O23" s="118" t="str">
        <f t="shared" si="1"/>
        <v/>
      </c>
      <c r="P23" s="62"/>
      <c r="Q23" s="62"/>
    </row>
    <row r="24" spans="1:17">
      <c r="A24" s="62"/>
      <c r="B24" s="62"/>
      <c r="C24" s="107">
        <v>19</v>
      </c>
      <c r="D24" s="108" t="str">
        <f>'برنامه فروردین'!F23</f>
        <v/>
      </c>
      <c r="E24" s="108" t="str">
        <f>'برنامه فروردین'!C23</f>
        <v/>
      </c>
      <c r="F24" s="109" t="str">
        <f>IF(OR('برنامه فروردین'!D23&lt;&gt;"",'برنامه فروردین'!E23&lt;&gt;""),'برنامه فروردین'!D23&amp;"  سال "&amp;'برنامه فروردین'!E23&amp;" ماه ","")</f>
        <v/>
      </c>
      <c r="G24" s="108" t="str">
        <f>'برنامه فروردین'!B23</f>
        <v/>
      </c>
      <c r="H24" s="108">
        <f>IFERROR(INDEX(دیتا!$K$2:$R$26,MATCH(مبالغ!D24,دیتا!$K$2:$K$26,0),8),"")</f>
        <v>0</v>
      </c>
      <c r="I24" s="110">
        <f>'کارکرد '!G22</f>
        <v>0</v>
      </c>
      <c r="J24" s="110" t="str">
        <f>'کارکرد '!D22</f>
        <v/>
      </c>
      <c r="K24" s="110" t="str">
        <f>'کارکرد '!E22</f>
        <v/>
      </c>
      <c r="L24" s="128"/>
      <c r="M24" s="110" t="str">
        <f t="shared" si="0"/>
        <v/>
      </c>
      <c r="N24" s="111" t="str">
        <f>IFERROR(IF(AND(H24=دیتا!$T$3,G24&lt;&gt;دیتا!$I$2),مبالغ!K24*تنظیمات!$O$12,IF(مبالغ!G24=دیتا!$I$2,مبالغ!I24*تنظیمات!$O$13,IF(مبالغ!G24=دیتا!$I$3,K24*تنظیمات!$O$12,IF(K24&gt;60,(K24-60)*تنظیمات!$O$12,"")))),"")</f>
        <v/>
      </c>
      <c r="O24" s="112" t="str">
        <f t="shared" si="1"/>
        <v/>
      </c>
      <c r="P24" s="62"/>
      <c r="Q24" s="62"/>
    </row>
    <row r="25" spans="1:17">
      <c r="A25" s="62"/>
      <c r="B25" s="62"/>
      <c r="C25" s="113">
        <v>20</v>
      </c>
      <c r="D25" s="114" t="str">
        <f>'برنامه فروردین'!F24</f>
        <v/>
      </c>
      <c r="E25" s="114" t="str">
        <f>'برنامه فروردین'!C24</f>
        <v/>
      </c>
      <c r="F25" s="115" t="str">
        <f>IF(OR('برنامه فروردین'!D24&lt;&gt;"",'برنامه فروردین'!E24&lt;&gt;""),'برنامه فروردین'!D24&amp;"  سال "&amp;'برنامه فروردین'!E24&amp;" ماه ","")</f>
        <v/>
      </c>
      <c r="G25" s="114" t="str">
        <f>'برنامه فروردین'!B24</f>
        <v/>
      </c>
      <c r="H25" s="114">
        <f>IFERROR(INDEX(دیتا!$K$2:$R$26,MATCH(مبالغ!D25,دیتا!$K$2:$K$26,0),8),"")</f>
        <v>0</v>
      </c>
      <c r="I25" s="116">
        <f>'کارکرد '!G23</f>
        <v>0</v>
      </c>
      <c r="J25" s="116" t="str">
        <f>'کارکرد '!D23</f>
        <v/>
      </c>
      <c r="K25" s="116" t="str">
        <f>'کارکرد '!E23</f>
        <v/>
      </c>
      <c r="L25" s="129"/>
      <c r="M25" s="116" t="str">
        <f t="shared" si="0"/>
        <v/>
      </c>
      <c r="N25" s="117" t="str">
        <f>IFERROR(IF(AND(H25=دیتا!$T$3,G25&lt;&gt;دیتا!$I$2),مبالغ!K25*تنظیمات!$O$12,IF(مبالغ!G25=دیتا!$I$2,مبالغ!I25*تنظیمات!$O$13,IF(مبالغ!G25=دیتا!$I$3,K25*تنظیمات!$O$12,IF(K25&gt;60,(K25-60)*تنظیمات!$O$12,"")))),"")</f>
        <v/>
      </c>
      <c r="O25" s="118" t="str">
        <f t="shared" si="1"/>
        <v/>
      </c>
      <c r="P25" s="62"/>
      <c r="Q25" s="62"/>
    </row>
    <row r="26" spans="1:17">
      <c r="A26" s="62"/>
      <c r="B26" s="62"/>
      <c r="C26" s="107">
        <v>21</v>
      </c>
      <c r="D26" s="108" t="str">
        <f>'برنامه فروردین'!F25</f>
        <v/>
      </c>
      <c r="E26" s="108" t="str">
        <f>'برنامه فروردین'!C25</f>
        <v/>
      </c>
      <c r="F26" s="109" t="str">
        <f>IF(OR('برنامه فروردین'!D25&lt;&gt;"",'برنامه فروردین'!E25&lt;&gt;""),'برنامه فروردین'!D25&amp;"  سال "&amp;'برنامه فروردین'!E25&amp;" ماه ","")</f>
        <v/>
      </c>
      <c r="G26" s="108" t="str">
        <f>'برنامه فروردین'!B25</f>
        <v/>
      </c>
      <c r="H26" s="108">
        <f>IFERROR(INDEX(دیتا!$K$2:$R$26,MATCH(مبالغ!D26,دیتا!$K$2:$K$26,0),8),"")</f>
        <v>0</v>
      </c>
      <c r="I26" s="110">
        <f>'کارکرد '!G24</f>
        <v>0</v>
      </c>
      <c r="J26" s="110" t="str">
        <f>'کارکرد '!D24</f>
        <v/>
      </c>
      <c r="K26" s="110" t="str">
        <f>'کارکرد '!E24</f>
        <v/>
      </c>
      <c r="L26" s="128"/>
      <c r="M26" s="110" t="str">
        <f t="shared" si="0"/>
        <v/>
      </c>
      <c r="N26" s="111" t="str">
        <f>IFERROR(IF(AND(H26=دیتا!$T$3,G26&lt;&gt;دیتا!$I$2),مبالغ!K26*تنظیمات!$O$12,IF(مبالغ!G26=دیتا!$I$2,مبالغ!I26*تنظیمات!$O$13,IF(مبالغ!G26=دیتا!$I$3,K26*تنظیمات!$O$12,IF(K26&gt;60,(K26-60)*تنظیمات!$O$12,"")))),"")</f>
        <v/>
      </c>
      <c r="O26" s="112" t="str">
        <f t="shared" si="1"/>
        <v/>
      </c>
      <c r="P26" s="62"/>
      <c r="Q26" s="62"/>
    </row>
    <row r="27" spans="1:17">
      <c r="A27" s="62"/>
      <c r="B27" s="62"/>
      <c r="C27" s="113">
        <v>22</v>
      </c>
      <c r="D27" s="114" t="str">
        <f>'برنامه فروردین'!F26</f>
        <v/>
      </c>
      <c r="E27" s="114" t="str">
        <f>'برنامه فروردین'!C26</f>
        <v/>
      </c>
      <c r="F27" s="115" t="str">
        <f>IF(OR('برنامه فروردین'!D26&lt;&gt;"",'برنامه فروردین'!E26&lt;&gt;""),'برنامه فروردین'!D26&amp;"  سال "&amp;'برنامه فروردین'!E26&amp;" ماه ","")</f>
        <v/>
      </c>
      <c r="G27" s="114" t="str">
        <f>'برنامه فروردین'!B26</f>
        <v/>
      </c>
      <c r="H27" s="114">
        <f>IFERROR(INDEX(دیتا!$K$2:$R$26,MATCH(مبالغ!D27,دیتا!$K$2:$K$26,0),8),"")</f>
        <v>0</v>
      </c>
      <c r="I27" s="116">
        <f>'کارکرد '!G25</f>
        <v>0</v>
      </c>
      <c r="J27" s="116" t="str">
        <f>'کارکرد '!D25</f>
        <v/>
      </c>
      <c r="K27" s="116" t="str">
        <f>'کارکرد '!E25</f>
        <v/>
      </c>
      <c r="L27" s="129"/>
      <c r="M27" s="116" t="str">
        <f t="shared" si="0"/>
        <v/>
      </c>
      <c r="N27" s="117" t="str">
        <f>IFERROR(IF(AND(H27=دیتا!$T$3,G27&lt;&gt;دیتا!$I$2),مبالغ!K27*تنظیمات!$O$12,IF(مبالغ!G27=دیتا!$I$2,مبالغ!I27*تنظیمات!$O$13,IF(مبالغ!G27=دیتا!$I$3,K27*تنظیمات!$O$12,IF(K27&gt;60,(K27-60)*تنظیمات!$O$12,"")))),"")</f>
        <v/>
      </c>
      <c r="O27" s="118" t="str">
        <f t="shared" si="1"/>
        <v/>
      </c>
      <c r="P27" s="62"/>
      <c r="Q27" s="62"/>
    </row>
    <row r="28" spans="1:17">
      <c r="A28" s="62"/>
      <c r="B28" s="62"/>
      <c r="C28" s="107">
        <v>23</v>
      </c>
      <c r="D28" s="108" t="str">
        <f>'برنامه فروردین'!F27</f>
        <v/>
      </c>
      <c r="E28" s="108" t="str">
        <f>'برنامه فروردین'!C27</f>
        <v/>
      </c>
      <c r="F28" s="109" t="str">
        <f>IF(OR('برنامه فروردین'!D27&lt;&gt;"",'برنامه فروردین'!E27&lt;&gt;""),'برنامه فروردین'!D27&amp;"  سال "&amp;'برنامه فروردین'!E27&amp;" ماه ","")</f>
        <v/>
      </c>
      <c r="G28" s="108" t="str">
        <f>'برنامه فروردین'!B27</f>
        <v/>
      </c>
      <c r="H28" s="108">
        <f>IFERROR(INDEX(دیتا!$K$2:$R$26,MATCH(مبالغ!D28,دیتا!$K$2:$K$26,0),8),"")</f>
        <v>0</v>
      </c>
      <c r="I28" s="110">
        <f>'کارکرد '!G26</f>
        <v>0</v>
      </c>
      <c r="J28" s="110" t="str">
        <f>'کارکرد '!D26</f>
        <v/>
      </c>
      <c r="K28" s="110" t="str">
        <f>'کارکرد '!E26</f>
        <v/>
      </c>
      <c r="L28" s="128"/>
      <c r="M28" s="110" t="str">
        <f t="shared" si="0"/>
        <v/>
      </c>
      <c r="N28" s="111" t="str">
        <f>IFERROR(IF(AND(H28=دیتا!$T$3,G28&lt;&gt;دیتا!$I$2),مبالغ!K28*تنظیمات!$O$12,IF(مبالغ!G28=دیتا!$I$2,مبالغ!I28*تنظیمات!$O$13,IF(مبالغ!G28=دیتا!$I$3,K28*تنظیمات!$O$12,IF(K28&gt;60,(K28-60)*تنظیمات!$O$12,"")))),"")</f>
        <v/>
      </c>
      <c r="O28" s="112" t="str">
        <f t="shared" si="1"/>
        <v/>
      </c>
      <c r="P28" s="62"/>
      <c r="Q28" s="62"/>
    </row>
    <row r="29" spans="1:17">
      <c r="A29" s="62"/>
      <c r="B29" s="62"/>
      <c r="C29" s="113">
        <v>24</v>
      </c>
      <c r="D29" s="114" t="str">
        <f>'برنامه فروردین'!F28</f>
        <v/>
      </c>
      <c r="E29" s="114" t="str">
        <f>'برنامه فروردین'!C28</f>
        <v/>
      </c>
      <c r="F29" s="115" t="str">
        <f>IF(OR('برنامه فروردین'!D28&lt;&gt;"",'برنامه فروردین'!E28&lt;&gt;""),'برنامه فروردین'!D28&amp;"  سال "&amp;'برنامه فروردین'!E28&amp;" ماه ","")</f>
        <v/>
      </c>
      <c r="G29" s="114" t="str">
        <f>'برنامه فروردین'!B28</f>
        <v/>
      </c>
      <c r="H29" s="114">
        <f>IFERROR(INDEX(دیتا!$K$2:$R$26,MATCH(مبالغ!D29,دیتا!$K$2:$K$26,0),8),"")</f>
        <v>0</v>
      </c>
      <c r="I29" s="116">
        <f>'کارکرد '!G27</f>
        <v>0</v>
      </c>
      <c r="J29" s="116" t="str">
        <f>'کارکرد '!D27</f>
        <v/>
      </c>
      <c r="K29" s="116" t="str">
        <f>'کارکرد '!E27</f>
        <v/>
      </c>
      <c r="L29" s="129"/>
      <c r="M29" s="116" t="str">
        <f t="shared" si="0"/>
        <v/>
      </c>
      <c r="N29" s="117" t="str">
        <f>IFERROR(IF(AND(H29=دیتا!$T$3,G29&lt;&gt;دیتا!$I$2),مبالغ!K29*تنظیمات!$O$12,IF(مبالغ!G29=دیتا!$I$2,مبالغ!I29*تنظیمات!$O$13,IF(مبالغ!G29=دیتا!$I$3,K29*تنظیمات!$O$12,IF(K29&gt;60,(K29-60)*تنظیمات!$O$12,"")))),"")</f>
        <v/>
      </c>
      <c r="O29" s="118" t="str">
        <f t="shared" si="1"/>
        <v/>
      </c>
      <c r="P29" s="62"/>
      <c r="Q29" s="62"/>
    </row>
    <row r="30" spans="1:17" ht="15" thickBot="1">
      <c r="A30" s="62"/>
      <c r="B30" s="62"/>
      <c r="C30" s="119">
        <v>25</v>
      </c>
      <c r="D30" s="120" t="str">
        <f>'برنامه فروردین'!F29</f>
        <v/>
      </c>
      <c r="E30" s="120" t="str">
        <f>'برنامه فروردین'!C29</f>
        <v/>
      </c>
      <c r="F30" s="121" t="str">
        <f>IF(OR('برنامه فروردین'!D29&lt;&gt;"",'برنامه فروردین'!E29&lt;&gt;""),'برنامه فروردین'!D29&amp;"  سال "&amp;'برنامه فروردین'!E29&amp;" ماه ","")</f>
        <v/>
      </c>
      <c r="G30" s="120" t="str">
        <f>'برنامه فروردین'!B29</f>
        <v/>
      </c>
      <c r="H30" s="120">
        <f>IFERROR(INDEX(دیتا!$K$2:$R$26,MATCH(مبالغ!D30,دیتا!$K$2:$K$26,0),8),"")</f>
        <v>0</v>
      </c>
      <c r="I30" s="122">
        <f>'کارکرد '!G28</f>
        <v>0</v>
      </c>
      <c r="J30" s="122" t="str">
        <f>'کارکرد '!D28</f>
        <v/>
      </c>
      <c r="K30" s="122" t="str">
        <f>'کارکرد '!E28</f>
        <v/>
      </c>
      <c r="L30" s="130"/>
      <c r="M30" s="122" t="str">
        <f t="shared" si="0"/>
        <v/>
      </c>
      <c r="N30" s="123" t="str">
        <f>IFERROR(IF(AND(H30=دیتا!$T$3,G30&lt;&gt;دیتا!$I$2),مبالغ!K30*تنظیمات!$O$12,IF(مبالغ!G30=دیتا!$I$2,مبالغ!I30*تنظیمات!$O$13,IF(مبالغ!G30=دیتا!$I$3,K30*تنظیمات!$O$12,IF(K30&gt;60,(K30-60)*تنظیمات!$O$12,"")))),"")</f>
        <v/>
      </c>
      <c r="O30" s="124" t="str">
        <f t="shared" si="1"/>
        <v/>
      </c>
      <c r="P30" s="62"/>
      <c r="Q30" s="62"/>
    </row>
    <row r="31" spans="1:17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6"/>
      <c r="M31" s="66"/>
      <c r="N31" s="66"/>
      <c r="O31" s="66"/>
      <c r="P31" s="62"/>
      <c r="Q31" s="62"/>
    </row>
    <row r="32" spans="1:17">
      <c r="A32" s="62"/>
      <c r="B32" s="62"/>
      <c r="C32" s="125"/>
      <c r="D32" s="125" t="s">
        <v>188</v>
      </c>
      <c r="E32" s="126" t="s">
        <v>189</v>
      </c>
      <c r="F32" s="125"/>
      <c r="G32" s="125" t="s">
        <v>190</v>
      </c>
      <c r="H32" s="125"/>
      <c r="I32" s="276" t="s">
        <v>191</v>
      </c>
      <c r="J32" s="276"/>
      <c r="K32" s="125"/>
      <c r="L32" s="127" t="s">
        <v>192</v>
      </c>
      <c r="M32" s="127"/>
      <c r="N32" s="304" t="s">
        <v>193</v>
      </c>
      <c r="O32" s="304"/>
      <c r="P32" s="62"/>
      <c r="Q32" s="62"/>
    </row>
    <row r="33" spans="1:17">
      <c r="A33" s="62"/>
      <c r="B33" s="62"/>
      <c r="C33" s="62"/>
      <c r="D33" s="300">
        <f>تنظیمات!O15</f>
        <v>0</v>
      </c>
      <c r="E33" s="300">
        <f>تنظیمات!O16</f>
        <v>0</v>
      </c>
      <c r="F33" s="300"/>
      <c r="G33" s="300">
        <f>تنظیمات!O18</f>
        <v>0</v>
      </c>
      <c r="H33" s="300"/>
      <c r="I33" s="300">
        <f>تنظیمات!O17</f>
        <v>0</v>
      </c>
      <c r="J33" s="300"/>
      <c r="K33" s="300"/>
      <c r="L33" s="300">
        <f>تنظیمات!O20</f>
        <v>0</v>
      </c>
      <c r="M33" s="300"/>
      <c r="N33" s="300">
        <f>تنظیمات!O21</f>
        <v>0</v>
      </c>
      <c r="O33" s="300"/>
      <c r="P33" s="62"/>
      <c r="Q33" s="62"/>
    </row>
    <row r="34" spans="1:17">
      <c r="A34" s="62"/>
      <c r="B34" s="62"/>
      <c r="C34" s="62"/>
      <c r="D34" s="300"/>
      <c r="E34" s="300"/>
      <c r="F34" s="300"/>
      <c r="G34" s="300"/>
      <c r="H34" s="300"/>
      <c r="I34" s="300"/>
      <c r="J34" s="300"/>
      <c r="K34" s="300"/>
      <c r="L34" s="300"/>
      <c r="M34" s="300"/>
      <c r="N34" s="300"/>
      <c r="O34" s="300"/>
      <c r="P34" s="62"/>
      <c r="Q34" s="62"/>
    </row>
    <row r="35" spans="1:17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6"/>
      <c r="M35" s="66"/>
      <c r="N35" s="66"/>
      <c r="O35" s="66"/>
      <c r="P35" s="62"/>
      <c r="Q35" s="62"/>
    </row>
    <row r="36" spans="1:17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6"/>
      <c r="M36" s="66"/>
      <c r="N36" s="66"/>
      <c r="O36" s="66"/>
      <c r="P36" s="62"/>
      <c r="Q36" s="62"/>
    </row>
  </sheetData>
  <sheetProtection algorithmName="SHA-512" hashValue="PiR3J2caWdKM8rifiLv6QRKyWrVKpk6fe1X7Pvz8geFMlckHK+J0UfzvybJtxRbkcXbZvjSu9FOky73FgJKbHg==" saltValue="M6Xgc6ikvE6nZlHhR28VEw==" spinCount="100000" sheet="1" formatCells="0" formatColumns="0" formatRows="0" insertColumns="0" insertRows="0" insertHyperlinks="0" deleteColumns="0" deleteRows="0" sort="0" autoFilter="0" pivotTables="0"/>
  <mergeCells count="11">
    <mergeCell ref="F2:M2"/>
    <mergeCell ref="F3:M3"/>
    <mergeCell ref="G4:L4"/>
    <mergeCell ref="I32:J32"/>
    <mergeCell ref="N32:O32"/>
    <mergeCell ref="N33:O34"/>
    <mergeCell ref="D33:D34"/>
    <mergeCell ref="E33:F34"/>
    <mergeCell ref="G33:H34"/>
    <mergeCell ref="I33:K34"/>
    <mergeCell ref="L33:M34"/>
  </mergeCells>
  <printOptions horizontalCentered="1" verticalCentered="1"/>
  <pageMargins left="0.25" right="0.25" top="0.75" bottom="0.75" header="0.3" footer="0.3"/>
  <pageSetup paperSize="9" scale="56" orientation="landscape" r:id="rId1"/>
  <headerFooter>
    <oddFooter>&amp;L&amp;D     &amp;T&amp;R&amp;K00-022طراح: س.رحیمی</oddFooter>
  </headerFooter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Z100"/>
  <sheetViews>
    <sheetView rightToLeft="1" topLeftCell="XFD1" workbookViewId="0">
      <selection sqref="A1:XFD1048576"/>
    </sheetView>
  </sheetViews>
  <sheetFormatPr defaultColWidth="0" defaultRowHeight="13.8"/>
  <cols>
    <col min="1" max="6" width="15.77734375" style="32" hidden="1" customWidth="1"/>
    <col min="7" max="7" width="17.77734375" style="32" hidden="1" customWidth="1"/>
    <col min="8" max="8" width="17.6640625" style="32" hidden="1" customWidth="1"/>
    <col min="9" max="9" width="15.77734375" style="32" hidden="1" customWidth="1"/>
    <col min="10" max="10" width="12.88671875" style="32" hidden="1" customWidth="1"/>
    <col min="11" max="14" width="15.77734375" style="32" hidden="1" customWidth="1"/>
    <col min="15" max="18" width="18.44140625" style="32" hidden="1" customWidth="1"/>
    <col min="19" max="26" width="15.77734375" style="32" hidden="1" customWidth="1"/>
    <col min="27" max="16384" width="9.109375" style="32" hidden="1"/>
  </cols>
  <sheetData>
    <row r="1" spans="1:23" s="31" customFormat="1" ht="48" customHeight="1">
      <c r="A1" s="29" t="s">
        <v>127</v>
      </c>
      <c r="B1" s="29" t="s">
        <v>67</v>
      </c>
      <c r="C1" s="29" t="s">
        <v>128</v>
      </c>
      <c r="D1" s="29" t="s">
        <v>129</v>
      </c>
      <c r="E1" s="29" t="s">
        <v>67</v>
      </c>
      <c r="F1" s="29" t="s">
        <v>133</v>
      </c>
      <c r="G1" s="29" t="s">
        <v>77</v>
      </c>
      <c r="H1" s="29" t="s">
        <v>126</v>
      </c>
      <c r="I1" s="29" t="s">
        <v>132</v>
      </c>
      <c r="J1" s="34" t="s">
        <v>136</v>
      </c>
      <c r="K1" s="29" t="s">
        <v>134</v>
      </c>
      <c r="L1" s="48" t="s">
        <v>161</v>
      </c>
      <c r="M1" s="29" t="s">
        <v>135</v>
      </c>
      <c r="N1" s="29" t="s">
        <v>152</v>
      </c>
      <c r="O1" s="29" t="s">
        <v>158</v>
      </c>
      <c r="P1" s="29" t="s">
        <v>159</v>
      </c>
      <c r="Q1" s="29" t="s">
        <v>168</v>
      </c>
      <c r="R1" s="29" t="s">
        <v>169</v>
      </c>
      <c r="S1" s="29" t="s">
        <v>160</v>
      </c>
    </row>
    <row r="2" spans="1:23" ht="20.100000000000001" customHeight="1">
      <c r="A2" s="32" t="s">
        <v>111</v>
      </c>
      <c r="B2" s="32">
        <v>1403</v>
      </c>
      <c r="C2" s="32" t="s">
        <v>119</v>
      </c>
      <c r="D2" s="32" t="s">
        <v>70</v>
      </c>
      <c r="E2" s="32">
        <v>1401</v>
      </c>
      <c r="F2" s="33" t="s">
        <v>92</v>
      </c>
      <c r="G2" s="32" t="s">
        <v>79</v>
      </c>
      <c r="H2" s="32" t="s">
        <v>130</v>
      </c>
      <c r="I2" s="32" t="s">
        <v>141</v>
      </c>
      <c r="J2" s="32">
        <v>1</v>
      </c>
      <c r="K2" s="32" t="str">
        <f>IF(تنظیمات!C8="","",تنظیمات!C8)</f>
        <v/>
      </c>
      <c r="L2" s="32">
        <f>IF((IF(تنظیمات!E8=دیتا!$H$3,(((تنظیمات!F8)*12)+تنظیمات!G8)*100,(((تنظیمات!F8)*12)+تنظیمات!G8)))=0,0,IF(تنظیمات!E8=دیتا!$H$3,(((تنظیمات!F8)*12)+تنظیمات!G8)*100,(((تنظیمات!F8)*12)+تنظیمات!G8)))</f>
        <v>0</v>
      </c>
      <c r="M2" s="32">
        <f>IF((IF(تنظیمات!E8=دیتا!$H$3,(((تنظیمات!F8)*12)+تنظیمات!G8)*1,(((تنظیمات!F8)*12)+تنظیمات!G8)))=0,0,IF(تنظیمات!E8=دیتا!$H$3,(((تنظیمات!F8)*12)+تنظیمات!G8)*1,(((تنظیمات!F8)*12)+تنظیمات!G8)))</f>
        <v>0</v>
      </c>
      <c r="N2" s="32" t="str">
        <f>IF(K2="","",IF(M2&lt;49,1,"")&amp;IF(AND(M2&gt;=49,M2&lt;97),2,"")&amp;IF(AND(M2&gt;=97,M2&lt;145),3,"")&amp;IF(AND(M2&gt;=145,M2&lt;193),4,"")&amp;IF(M2&gt;=193,5,""))</f>
        <v/>
      </c>
      <c r="O2" s="32" t="str">
        <f>IF(K2="","",IF(OR(تنظیمات!$E$2=دیتا!$G$15,تنظیمات!$E$2=دیتا!$G$16,تنظیمات!$E$2=دیتا!$G$17,تنظیمات!$E$2=دیتا!$G$18,تنظیمات!$E$2=دیتا!$G$19,تنظیمات!$E$2=دیتا!$G$20,تنظیمات!$E$2=دیتا!$G$21),2,1.5))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" s="32" t="str">
        <f>IF(K2="","",IF(تنظیمات!I8=دیتا!$T$2,1,0))</f>
        <v/>
      </c>
      <c r="Q2" s="32">
        <f>تنظیمات!J8</f>
        <v>0</v>
      </c>
      <c r="R2" s="32">
        <f>تنظیمات!H8</f>
        <v>0</v>
      </c>
      <c r="S2" s="32" t="str">
        <f>IF(AND(دیتا!Q2=دیتا!$I$2,دیتا!R2=دیتا!$T$2)," ",IF(AND(دیتا!Q2=دیتا!$I$2,دیتا!R2=دیتا!$T$3),"",IF(K2="","",IF(تنظیمات!H8=دیتا!$T$2,44-(N2+O2+P2),44))))</f>
        <v/>
      </c>
      <c r="T2" s="54" t="s">
        <v>139</v>
      </c>
    </row>
    <row r="3" spans="1:23" ht="20.100000000000001" customHeight="1">
      <c r="A3" s="32" t="s">
        <v>112</v>
      </c>
      <c r="B3" s="32">
        <v>1403</v>
      </c>
      <c r="C3" s="32" t="s">
        <v>70</v>
      </c>
      <c r="D3" s="32" t="s">
        <v>113</v>
      </c>
      <c r="E3" s="32">
        <v>1402</v>
      </c>
      <c r="F3" s="32" t="s">
        <v>50</v>
      </c>
      <c r="G3" s="32" t="s">
        <v>78</v>
      </c>
      <c r="H3" s="32" t="s">
        <v>131</v>
      </c>
      <c r="I3" s="32" t="s">
        <v>58</v>
      </c>
      <c r="J3" s="32">
        <f>IFERROR((IFERROR(RANK(L3,$L$3:$L$41,0)+COUNTIF($L$3:L3,L3)-1,"")+1),"")</f>
        <v>4</v>
      </c>
      <c r="K3" s="32" t="str">
        <f>IF(تنظیمات!C9="","",تنظیمات!C9)</f>
        <v/>
      </c>
      <c r="L3" s="32">
        <f>IF((IF(تنظیمات!E9=دیتا!$H$3,(((تنظیمات!F9)*12)+تنظیمات!G9)*100,(((تنظیمات!F9)*12)+تنظیمات!G9)))=0,0,IF(تنظیمات!E9=دیتا!$H$3,(((تنظیمات!F9)*12)+تنظیمات!G9)*100,(((تنظیمات!F9)*12)+تنظیمات!G9)))</f>
        <v>20</v>
      </c>
      <c r="M3" s="32">
        <f>IF((IF(تنظیمات!E9=دیتا!$H$3,(((تنظیمات!F9)*12)+تنظیمات!G9)*1,(((تنظیمات!F9)*12)+تنظیمات!G9)))=0,0,IF(تنظیمات!E9=دیتا!$H$3,(((تنظیمات!F9)*12)+تنظیمات!G9)*1,(((تنظیمات!F9)*12)+تنظیمات!G9)))</f>
        <v>20</v>
      </c>
      <c r="N3" s="32" t="str">
        <f t="shared" ref="N3:N37" si="0">IF(K3="","",IF(M3&lt;49,1,"")&amp;IF(AND(M3&gt;=49,M3&lt;97),2,"")&amp;IF(AND(M3&gt;=97,M3&lt;145),3,"")&amp;IF(AND(M3&gt;=145,M3&lt;193),4,"")&amp;IF(M3&gt;=193,5,""))</f>
        <v/>
      </c>
      <c r="O3" s="32" t="str">
        <f>IF(K3="","",IF(OR(تنظیمات!$E$2=دیتا!$G$15,تنظیمات!$E$2=دیتا!$G$16,تنظیمات!$E$2=دیتا!$G$17,تنظیمات!$E$2=دیتا!$G$18,تنظیمات!$E$2=دیتا!$G$19,تنظیمات!$E$2=دیتا!$G$20,تنظیمات!$E$2=دیتا!$G$21),2,1.5))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3" s="32" t="str">
        <f>IF(K3="","",IF(تنظیمات!I9=دیتا!$T$2,1,0))</f>
        <v/>
      </c>
      <c r="Q3" s="32" t="str">
        <f>تنظیمات!J9</f>
        <v>طرحی</v>
      </c>
      <c r="R3" s="32" t="str">
        <f>تنظیمات!H9</f>
        <v>✔</v>
      </c>
      <c r="S3" s="32" t="str">
        <f>IF(AND(دیتا!Q3=دیتا!$I$2,دیتا!R3=دیتا!$T$2)," ",IF(AND(دیتا!Q3=دیتا!$I$2,دیتا!R3=دیتا!$T$3),"",IF(K3="","",IF(تنظیمات!H9=دیتا!$T$2,44-(N3+O3+P3),44))))</f>
        <v/>
      </c>
      <c r="T3" s="55" t="s">
        <v>138</v>
      </c>
    </row>
    <row r="4" spans="1:23" ht="20.100000000000001" customHeight="1">
      <c r="A4" s="32" t="s">
        <v>114</v>
      </c>
      <c r="B4" s="32">
        <v>1403</v>
      </c>
      <c r="C4" s="32" t="s">
        <v>116</v>
      </c>
      <c r="D4" s="32" t="s">
        <v>72</v>
      </c>
      <c r="E4" s="32">
        <v>1403</v>
      </c>
      <c r="F4" s="32" t="s">
        <v>62</v>
      </c>
      <c r="I4" s="32" t="s">
        <v>60</v>
      </c>
      <c r="J4" s="32">
        <f>IFERROR((IFERROR(RANK(L4,$L$3:$L$41,0)+COUNTIF($L$3:L4,L4)-1,"")+1),"")</f>
        <v>5</v>
      </c>
      <c r="K4" s="32" t="str">
        <f>IF(تنظیمات!C10="","",تنظیمات!C10)</f>
        <v/>
      </c>
      <c r="L4" s="32">
        <f>IF((IF(تنظیمات!E10=دیتا!$H$3,(((تنظیمات!F10)*12)+تنظیمات!G10)*100,(((تنظیمات!F10)*12)+تنظیمات!G10)))=0,0,IF(تنظیمات!E10=دیتا!$H$3,(((تنظیمات!F10)*12)+تنظیمات!G10)*100,(((تنظیمات!F10)*12)+تنظیمات!G10)))</f>
        <v>12</v>
      </c>
      <c r="M4" s="32">
        <f>IF((IF(تنظیمات!E10=دیتا!$H$3,(((تنظیمات!F10)*12)+تنظیمات!G10)*1,(((تنظیمات!F10)*12)+تنظیمات!G10)))=0,0,IF(تنظیمات!E10=دیتا!$H$3,(((تنظیمات!F10)*12)+تنظیمات!G10)*1,(((تنظیمات!F10)*12)+تنظیمات!G10)))</f>
        <v>12</v>
      </c>
      <c r="N4" s="32" t="str">
        <f t="shared" si="0"/>
        <v/>
      </c>
      <c r="O4" s="32" t="str">
        <f>IF(K4="","",IF(OR(تنظیمات!$E$2=دیتا!$G$15,تنظیمات!$E$2=دیتا!$G$16,تنظیمات!$E$2=دیتا!$G$17,تنظیمات!$E$2=دیتا!$G$18,تنظیمات!$E$2=دیتا!$G$19,تنظیمات!$E$2=دیتا!$G$20,تنظیمات!$E$2=دیتا!$G$21),2,1.5))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4" s="32" t="str">
        <f>IF(K4="","",IF(تنظیمات!I10=دیتا!$T$2,1,0))</f>
        <v/>
      </c>
      <c r="Q4" s="32" t="str">
        <f>تنظیمات!J10</f>
        <v>طرحی</v>
      </c>
      <c r="R4" s="32" t="str">
        <f>تنظیمات!H10</f>
        <v>✔</v>
      </c>
      <c r="S4" s="32" t="str">
        <f>IF(AND(دیتا!Q4=دیتا!$I$2,دیتا!R4=دیتا!$T$2)," ",IF(AND(دیتا!Q4=دیتا!$I$2,دیتا!R4=دیتا!$T$3),"",IF(K4="","",IF(تنظیمات!H10=دیتا!$T$2,44-(N4+O4+P4),44))))</f>
        <v/>
      </c>
    </row>
    <row r="5" spans="1:23" ht="20.100000000000001" customHeight="1">
      <c r="A5" s="32" t="s">
        <v>115</v>
      </c>
      <c r="B5" s="32">
        <v>1403</v>
      </c>
      <c r="C5" s="32" t="s">
        <v>71</v>
      </c>
      <c r="D5" s="32" t="s">
        <v>116</v>
      </c>
      <c r="F5" s="32" t="s">
        <v>53</v>
      </c>
      <c r="I5" s="32" t="s">
        <v>59</v>
      </c>
      <c r="J5" s="32">
        <f>IFERROR((IFERROR(RANK(L5,$L$3:$L$41,0)+COUNTIF($L$3:L5,L5)-1,"")+1),"")</f>
        <v>9</v>
      </c>
      <c r="K5" s="32" t="str">
        <f>IF(تنظیمات!C11="","",تنظیمات!C11)</f>
        <v/>
      </c>
      <c r="L5" s="32">
        <f>IF((IF(تنظیمات!E11=دیتا!$H$3,(((تنظیمات!F11)*12)+تنظیمات!G11)*100,(((تنظیمات!F11)*12)+تنظیمات!G11)))=0,0,IF(تنظیمات!E11=دیتا!$H$3,(((تنظیمات!F11)*12)+تنظیمات!G11)*100,(((تنظیمات!F11)*12)+تنظیمات!G11)))</f>
        <v>0</v>
      </c>
      <c r="M5" s="32">
        <f>IF((IF(تنظیمات!E11=دیتا!$H$3,(((تنظیمات!F11)*12)+تنظیمات!G11)*1,(((تنظیمات!F11)*12)+تنظیمات!G11)))=0,0,IF(تنظیمات!E11=دیتا!$H$3,(((تنظیمات!F11)*12)+تنظیمات!G11)*1,(((تنظیمات!F11)*12)+تنظیمات!G11)))</f>
        <v>0</v>
      </c>
      <c r="N5" s="32" t="str">
        <f t="shared" si="0"/>
        <v/>
      </c>
      <c r="O5" s="32" t="str">
        <f>IF(K5="","",IF(OR(تنظیمات!$E$2=دیتا!$G$15,تنظیمات!$E$2=دیتا!$G$16,تنظیمات!$E$2=دیتا!$G$17,تنظیمات!$E$2=دیتا!$G$18,تنظیمات!$E$2=دیتا!$G$19,تنظیمات!$E$2=دیتا!$G$20,تنظیمات!$E$2=دیتا!$G$21),2,1.5))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5" s="32" t="str">
        <f>IF(K5="","",IF(تنظیمات!I11=دیتا!$T$2,1,0))</f>
        <v/>
      </c>
      <c r="Q5" s="32" t="str">
        <f>تنظیمات!J11</f>
        <v>تفاهمی</v>
      </c>
      <c r="R5" s="32" t="str">
        <f>تنظیمات!H11</f>
        <v>❌</v>
      </c>
      <c r="S5" s="32" t="str">
        <f>IF(AND(دیتا!Q5=دیتا!$I$2,دیتا!R5=دیتا!$T$2)," ",IF(AND(دیتا!Q5=دیتا!$I$2,دیتا!R5=دیتا!$T$3),"",IF(K5="","",IF(تنظیمات!H11=دیتا!$T$2,44-(N5+O5+P5),44))))</f>
        <v/>
      </c>
    </row>
    <row r="6" spans="1:23" ht="20.100000000000001" customHeight="1">
      <c r="A6" s="32" t="s">
        <v>118</v>
      </c>
      <c r="B6" s="32">
        <v>1403</v>
      </c>
      <c r="C6" s="32" t="s">
        <v>72</v>
      </c>
      <c r="D6" s="32" t="s">
        <v>119</v>
      </c>
      <c r="F6" s="32" t="s">
        <v>80</v>
      </c>
      <c r="I6" s="32" t="s">
        <v>61</v>
      </c>
      <c r="J6" s="32">
        <f>IFERROR((IFERROR(RANK(L6,$L$3:$L$41,0)+COUNTIF($L$3:L6,L6)-1,"")+1),"")</f>
        <v>10</v>
      </c>
      <c r="K6" s="32" t="str">
        <f>IF(تنظیمات!C12="","",تنظیمات!C12)</f>
        <v/>
      </c>
      <c r="L6" s="32">
        <f>IF((IF(تنظیمات!E12=دیتا!$H$3,(((تنظیمات!F12)*12)+تنظیمات!G12)*100,(((تنظیمات!F12)*12)+تنظیمات!G12)))=0,0,IF(تنظیمات!E12=دیتا!$H$3,(((تنظیمات!F12)*12)+تنظیمات!G12)*100,(((تنظیمات!F12)*12)+تنظیمات!G12)))</f>
        <v>0</v>
      </c>
      <c r="M6" s="32">
        <f>IF((IF(تنظیمات!E12=دیتا!$H$3,(((تنظیمات!F12)*12)+تنظیمات!G12)*1,(((تنظیمات!F12)*12)+تنظیمات!G12)))=0,0,IF(تنظیمات!E12=دیتا!$H$3,(((تنظیمات!F12)*12)+تنظیمات!G12)*1,(((تنظیمات!F12)*12)+تنظیمات!G12)))</f>
        <v>0</v>
      </c>
      <c r="N6" s="32" t="str">
        <f t="shared" si="0"/>
        <v/>
      </c>
      <c r="O6" s="32" t="str">
        <f>IF(K6="","",IF(OR(تنظیمات!$E$2=دیتا!$G$15,تنظیمات!$E$2=دیتا!$G$16,تنظیمات!$E$2=دیتا!$G$17,تنظیمات!$E$2=دیتا!$G$18,تنظیمات!$E$2=دیتا!$G$19,تنظیمات!$E$2=دیتا!$G$20,تنظیمات!$E$2=دیتا!$G$21),2,1.5))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6" s="32" t="str">
        <f>IF(K6="","",IF(تنظیمات!I12=دیتا!$T$2,1,0))</f>
        <v/>
      </c>
      <c r="Q6" s="32" t="str">
        <f>تنظیمات!J12</f>
        <v>تفاهمی</v>
      </c>
      <c r="R6" s="32" t="str">
        <f>تنظیمات!H12</f>
        <v>✔</v>
      </c>
      <c r="S6" s="32" t="str">
        <f>IF(AND(دیتا!Q6=دیتا!$I$2,دیتا!R6=دیتا!$T$2)," ",IF(AND(دیتا!Q6=دیتا!$I$2,دیتا!R6=دیتا!$T$3),"",IF(K6="","",IF(تنظیمات!H12=دیتا!$T$2,44-(N6+O6+P6),44))))</f>
        <v xml:space="preserve"> </v>
      </c>
    </row>
    <row r="7" spans="1:23" ht="20.100000000000001" customHeight="1">
      <c r="A7" s="32" t="s">
        <v>120</v>
      </c>
      <c r="B7" s="32">
        <v>1403</v>
      </c>
      <c r="C7" s="32" t="s">
        <v>93</v>
      </c>
      <c r="D7" s="32" t="s">
        <v>93</v>
      </c>
      <c r="F7" s="32" t="s">
        <v>81</v>
      </c>
      <c r="J7" s="32">
        <f>IFERROR((IFERROR(RANK(L7,$L$3:$L$41,0)+COUNTIF($L$3:L7,L7)-1,"")+1),"")</f>
        <v>2</v>
      </c>
      <c r="K7" s="32" t="str">
        <f>IF(تنظیمات!C13="","",تنظیمات!C13)</f>
        <v>دکتر علی</v>
      </c>
      <c r="L7" s="32">
        <f>IF((IF(تنظیمات!E13=دیتا!$H$3,(((تنظیمات!F13)*12)+تنظیمات!G13)*100,(((تنظیمات!F13)*12)+تنظیمات!G13)))=0,0,IF(تنظیمات!E13=دیتا!$H$3,(((تنظیمات!F13)*12)+تنظیمات!G13)*100,(((تنظیمات!F13)*12)+تنظیمات!G13)))</f>
        <v>206</v>
      </c>
      <c r="M7" s="32">
        <f>IF((IF(تنظیمات!E13=دیتا!$H$3,(((تنظیمات!F13)*12)+تنظیمات!G13)*1,(((تنظیمات!F13)*12)+تنظیمات!G13)))=0,0,IF(تنظیمات!E13=دیتا!$H$3,(((تنظیمات!F13)*12)+تنظیمات!G13)*1,(((تنظیمات!F13)*12)+تنظیمات!G13)))</f>
        <v>206</v>
      </c>
      <c r="N7" s="32" t="str">
        <f t="shared" si="0"/>
        <v>5</v>
      </c>
      <c r="O7" s="32">
        <f>IF(K7="","",IF(OR(تنظیمات!$E$2=دیتا!$G$15,تنظیمات!$E$2=دیتا!$G$16,تنظیمات!$E$2=دیتا!$G$17,تنظیمات!$E$2=دیتا!$G$18,تنظیمات!$E$2=دیتا!$G$19,تنظیمات!$E$2=دیتا!$G$20,تنظیمات!$E$2=دیتا!$G$21),2,1.5))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>1.5</v>
      </c>
      <c r="P7" s="32">
        <f>IF(K7="","",IF(تنظیمات!I13=دیتا!$T$2,1,0))</f>
        <v>1</v>
      </c>
      <c r="Q7" s="32" t="str">
        <f>تنظیمات!J13</f>
        <v>رسمی</v>
      </c>
      <c r="R7" s="32" t="str">
        <f>تنظیمات!H13</f>
        <v>❌</v>
      </c>
      <c r="S7" s="32">
        <f>IF(AND(دیتا!Q7=دیتا!$I$2,دیتا!R7=دیتا!$T$2)," ",IF(AND(دیتا!Q7=دیتا!$I$2,دیتا!R7=دیتا!$T$3),"",IF(K7="","",IF(تنظیمات!H13=دیتا!$T$2,44-(N7+O7+P7),44))))</f>
        <v>44</v>
      </c>
    </row>
    <row r="8" spans="1:23" ht="20.100000000000001" customHeight="1">
      <c r="A8" s="32" t="s">
        <v>121</v>
      </c>
      <c r="B8" s="32">
        <v>1403</v>
      </c>
      <c r="C8" s="32" t="s">
        <v>113</v>
      </c>
      <c r="D8" s="32" t="s">
        <v>71</v>
      </c>
      <c r="F8" s="32" t="s">
        <v>165</v>
      </c>
      <c r="J8" s="32">
        <f>IFERROR((IFERROR(RANK(L8,$L$3:$L$41,0)+COUNTIF($L$3:L8,L8)-1,"")+1),"")</f>
        <v>6</v>
      </c>
      <c r="K8" s="32" t="str">
        <f>IF(تنظیمات!C14="","",تنظیمات!C14)</f>
        <v>دکتر صبا</v>
      </c>
      <c r="L8" s="32">
        <f>IF((IF(تنظیمات!E14=دیتا!$H$3,(((تنظیمات!F14)*12)+تنظیمات!G14)*100,(((تنظیمات!F14)*12)+تنظیمات!G14)))=0,0,IF(تنظیمات!E14=دیتا!$H$3,(((تنظیمات!F14)*12)+تنظیمات!G14)*100,(((تنظیمات!F14)*12)+تنظیمات!G14)))</f>
        <v>12</v>
      </c>
      <c r="M8" s="32">
        <f>IF((IF(تنظیمات!E14=دیتا!$H$3,(((تنظیمات!F14)*12)+تنظیمات!G14)*1,(((تنظیمات!F14)*12)+تنظیمات!G14)))=0,0,IF(تنظیمات!E14=دیتا!$H$3,(((تنظیمات!F14)*12)+تنظیمات!G14)*1,(((تنظیمات!F14)*12)+تنظیمات!G14)))</f>
        <v>12</v>
      </c>
      <c r="N8" s="32" t="str">
        <f t="shared" si="0"/>
        <v>1</v>
      </c>
      <c r="O8" s="32">
        <f>IF(K8="","",IF(OR(تنظیمات!$E$2=دیتا!$G$15,تنظیمات!$E$2=دیتا!$G$16,تنظیمات!$E$2=دیتا!$G$17,تنظیمات!$E$2=دیتا!$G$18,تنظیمات!$E$2=دیتا!$G$19,تنظیمات!$E$2=دیتا!$G$20,تنظیمات!$E$2=دیتا!$G$21),2,1.5))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>1.5</v>
      </c>
      <c r="P8" s="32">
        <f>IF(K8="","",IF(تنظیمات!I14=دیتا!$T$2,1,0))</f>
        <v>1</v>
      </c>
      <c r="Q8" s="32" t="str">
        <f>تنظیمات!J14</f>
        <v>طرحی</v>
      </c>
      <c r="R8" s="32" t="str">
        <f>تنظیمات!H14</f>
        <v>✔</v>
      </c>
      <c r="S8" s="32">
        <f>IF(AND(دیتا!Q8=دیتا!$I$2,دیتا!R8=دیتا!$T$2)," ",IF(AND(دیتا!Q8=دیتا!$I$2,دیتا!R8=دیتا!$T$3),"",IF(K8="","",IF(تنظیمات!H14=دیتا!$T$2,44-(N8+O8+P8),44))))</f>
        <v>40.5</v>
      </c>
      <c r="W8" s="32" t="str">
        <f>'برنامه فروردین'!F11</f>
        <v>دکتر لیلا</v>
      </c>
    </row>
    <row r="9" spans="1:23" ht="20.100000000000001" customHeight="1">
      <c r="A9" s="32" t="s">
        <v>122</v>
      </c>
      <c r="B9" s="32">
        <v>1403</v>
      </c>
      <c r="C9" s="32" t="s">
        <v>116</v>
      </c>
      <c r="F9" s="32" t="s">
        <v>66</v>
      </c>
      <c r="J9" s="32">
        <f>IFERROR((IFERROR(RANK(L9,$L$3:$L$41,0)+COUNTIF($L$3:L9,L9)-1,"")+1),"")</f>
        <v>7</v>
      </c>
      <c r="K9" s="32" t="str">
        <f>IF(تنظیمات!C15="","",تنظیمات!C15)</f>
        <v>دکتر لیلا</v>
      </c>
      <c r="L9" s="32">
        <f>IF((IF(تنظیمات!E15=دیتا!$H$3,(((تنظیمات!F15)*12)+تنظیمات!G15)*100,(((تنظیمات!F15)*12)+تنظیمات!G15)))=0,0,IF(تنظیمات!E15=دیتا!$H$3,(((تنظیمات!F15)*12)+تنظیمات!G15)*100,(((تنظیمات!F15)*12)+تنظیمات!G15)))</f>
        <v>7</v>
      </c>
      <c r="M9" s="32">
        <f>IF((IF(تنظیمات!E15=دیتا!$H$3,(((تنظیمات!F15)*12)+تنظیمات!G15)*1,(((تنظیمات!F15)*12)+تنظیمات!G15)))=0,0,IF(تنظیمات!E15=دیتا!$H$3,(((تنظیمات!F15)*12)+تنظیمات!G15)*1,(((تنظیمات!F15)*12)+تنظیمات!G15)))</f>
        <v>7</v>
      </c>
      <c r="N9" s="32" t="str">
        <f t="shared" si="0"/>
        <v>1</v>
      </c>
      <c r="O9" s="32">
        <f>IF(K9="","",IF(OR(تنظیمات!$E$2=دیتا!$G$15,تنظیمات!$E$2=دیتا!$G$16,تنظیمات!$E$2=دیتا!$G$17,تنظیمات!$E$2=دیتا!$G$18,تنظیمات!$E$2=دیتا!$G$19,تنظیمات!$E$2=دیتا!$G$20,تنظیمات!$E$2=دیتا!$G$21),2,1.5))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>1.5</v>
      </c>
      <c r="P9" s="32">
        <f>IF(K9="","",IF(تنظیمات!I15=دیتا!$T$2,1,0))</f>
        <v>1</v>
      </c>
      <c r="Q9" s="32" t="str">
        <f>تنظیمات!J15</f>
        <v>تفاهمی</v>
      </c>
      <c r="R9" s="32" t="str">
        <f>تنظیمات!H15</f>
        <v>❌</v>
      </c>
      <c r="S9" s="32" t="str">
        <f>IF(AND(دیتا!Q9=دیتا!$I$2,دیتا!R9=دیتا!$T$2)," ",IF(AND(دیتا!Q9=دیتا!$I$2,دیتا!R9=دیتا!$T$3),"",IF(K9="","",IF(تنظیمات!H15=دیتا!$T$2,44-(N9+O9+P9),44))))</f>
        <v/>
      </c>
      <c r="W9" s="32" t="str">
        <f>'برنامه فروردین'!F12</f>
        <v>دکتر محسن</v>
      </c>
    </row>
    <row r="10" spans="1:23" ht="20.100000000000001" customHeight="1">
      <c r="A10" s="32" t="s">
        <v>123</v>
      </c>
      <c r="B10" s="32">
        <v>1403</v>
      </c>
      <c r="C10" s="32" t="s">
        <v>93</v>
      </c>
      <c r="F10" s="32" t="s">
        <v>65</v>
      </c>
      <c r="J10" s="32">
        <f>IFERROR((IFERROR(RANK(L10,$L$3:$L$41,0)+COUNTIF($L$3:L10,L10)-1,"")+1),"")</f>
        <v>11</v>
      </c>
      <c r="K10" s="32" t="str">
        <f>IF(تنظیمات!C16="","",تنظیمات!C16)</f>
        <v>دکتر عاطفه</v>
      </c>
      <c r="L10" s="32">
        <f>IF((IF(تنظیمات!E16=دیتا!$H$3,(((تنظیمات!F16)*12)+تنظیمات!G16)*100,(((تنظیمات!F16)*12)+تنظیمات!G16)))=0,0,IF(تنظیمات!E16=دیتا!$H$3,(((تنظیمات!F16)*12)+تنظیمات!G16)*100,(((تنظیمات!F16)*12)+تنظیمات!G16)))</f>
        <v>0</v>
      </c>
      <c r="M10" s="32">
        <f>IF((IF(تنظیمات!E16=دیتا!$H$3,(((تنظیمات!F16)*12)+تنظیمات!G16)*1,(((تنظیمات!F16)*12)+تنظیمات!G16)))=0,0,IF(تنظیمات!E16=دیتا!$H$3,(((تنظیمات!F16)*12)+تنظیمات!G16)*1,(((تنظیمات!F16)*12)+تنظیمات!G16)))</f>
        <v>0</v>
      </c>
      <c r="N10" s="32" t="str">
        <f t="shared" si="0"/>
        <v>1</v>
      </c>
      <c r="O10" s="32">
        <f>IF(K10="","",IF(OR(تنظیمات!$E$2=دیتا!$G$15,تنظیمات!$E$2=دیتا!$G$16,تنظیمات!$E$2=دیتا!$G$17,تنظیمات!$E$2=دیتا!$G$18,تنظیمات!$E$2=دیتا!$G$19,تنظیمات!$E$2=دیتا!$G$20,تنظیمات!$E$2=دیتا!$G$21),2,1.5))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>1.5</v>
      </c>
      <c r="P10" s="32">
        <f>IF(K10="","",IF(تنظیمات!I16=دیتا!$T$2,1,0))</f>
        <v>1</v>
      </c>
      <c r="Q10" s="32" t="str">
        <f>تنظیمات!J16</f>
        <v>قراردادی</v>
      </c>
      <c r="R10" s="32" t="str">
        <f>تنظیمات!H16</f>
        <v>✔</v>
      </c>
      <c r="S10" s="32">
        <f>IF(AND(دیتا!Q10=دیتا!$I$2,دیتا!R10=دیتا!$T$2)," ",IF(AND(دیتا!Q10=دیتا!$I$2,دیتا!R10=دیتا!$T$3),"",IF(K10="","",IF(تنظیمات!H16=دیتا!$T$2,44-(N10+O10+P10),44))))</f>
        <v>40.5</v>
      </c>
      <c r="W10" s="32" t="str">
        <f>'برنامه فروردین'!F13</f>
        <v/>
      </c>
    </row>
    <row r="11" spans="1:23" ht="20.100000000000001" customHeight="1">
      <c r="A11" s="32" t="s">
        <v>124</v>
      </c>
      <c r="B11" s="32">
        <v>1403</v>
      </c>
      <c r="C11" s="32" t="s">
        <v>70</v>
      </c>
      <c r="J11" s="32">
        <f>IFERROR((IFERROR(RANK(L11,$L$3:$L$41,0)+COUNTIF($L$3:L11,L11)-1,"")+1),"")</f>
        <v>8</v>
      </c>
      <c r="K11" s="32" t="str">
        <f>IF(تنظیمات!C17="","",تنظیمات!C17)</f>
        <v>دکتر محسن</v>
      </c>
      <c r="L11" s="32">
        <f>IF((IF(تنظیمات!E17=دیتا!$H$3,(((تنظیمات!F17)*12)+تنظیمات!G17)*100,(((تنظیمات!F17)*12)+تنظیمات!G17)))=0,0,IF(تنظیمات!E17=دیتا!$H$3,(((تنظیمات!F17)*12)+تنظیمات!G17)*100,(((تنظیمات!F17)*12)+تنظیمات!G17)))</f>
        <v>6</v>
      </c>
      <c r="M11" s="32">
        <f>IF((IF(تنظیمات!E17=دیتا!$H$3,(((تنظیمات!F17)*12)+تنظیمات!G17)*1,(((تنظیمات!F17)*12)+تنظیمات!G17)))=0,0,IF(تنظیمات!E17=دیتا!$H$3,(((تنظیمات!F17)*12)+تنظیمات!G17)*1,(((تنظیمات!F17)*12)+تنظیمات!G17)))</f>
        <v>6</v>
      </c>
      <c r="N11" s="32" t="str">
        <f t="shared" si="0"/>
        <v>1</v>
      </c>
      <c r="O11" s="32">
        <f>IF(K11="","",IF(OR(تنظیمات!$E$2=دیتا!$G$15,تنظیمات!$E$2=دیتا!$G$16,تنظیمات!$E$2=دیتا!$G$17,تنظیمات!$E$2=دیتا!$G$18,تنظیمات!$E$2=دیتا!$G$19,تنظیمات!$E$2=دیتا!$G$20,تنظیمات!$E$2=دیتا!$G$21),2,1.5))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>1.5</v>
      </c>
      <c r="P11" s="32">
        <f>IF(K11="","",IF(تنظیمات!I17=دیتا!$T$2,1,0))</f>
        <v>1</v>
      </c>
      <c r="Q11" s="32" t="str">
        <f>تنظیمات!J17</f>
        <v>طرحی</v>
      </c>
      <c r="R11" s="32" t="str">
        <f>تنظیمات!H17</f>
        <v>✔</v>
      </c>
      <c r="S11" s="32">
        <f>IF(AND(دیتا!Q11=دیتا!$I$2,دیتا!R11=دیتا!$T$2)," ",IF(AND(دیتا!Q11=دیتا!$I$2,دیتا!R11=دیتا!$T$3),"",IF(K11="","",IF(تنظیمات!H17=دیتا!$T$2,44-(N11+O11+P11),44))))</f>
        <v>40.5</v>
      </c>
      <c r="W11" s="32" t="str">
        <f>'برنامه فروردین'!F14</f>
        <v/>
      </c>
    </row>
    <row r="12" spans="1:23" ht="20.100000000000001" customHeight="1">
      <c r="A12" s="32" t="s">
        <v>125</v>
      </c>
      <c r="B12" s="32">
        <v>1403</v>
      </c>
      <c r="C12" s="32" t="s">
        <v>72</v>
      </c>
      <c r="E12" s="31" t="s">
        <v>117</v>
      </c>
      <c r="J12" s="32">
        <f>IFERROR((IFERROR(RANK(L12,$L$3:$L$41,0)+COUNTIF($L$3:L12,L12)-1,"")+1),"")</f>
        <v>3</v>
      </c>
      <c r="K12" s="32" t="str">
        <f>IF(تنظیمات!C18="","",تنظیمات!C18)</f>
        <v>دکتر خالد</v>
      </c>
      <c r="L12" s="32">
        <f>IF((IF(تنظیمات!E18=دیتا!$H$3,(((تنظیمات!F18)*12)+تنظیمات!G18)*100,(((تنظیمات!F18)*12)+تنظیمات!G18)))=0,0,IF(تنظیمات!E18=دیتا!$H$3,(((تنظیمات!F18)*12)+تنظیمات!G18)*100,(((تنظیمات!F18)*12)+تنظیمات!G18)))</f>
        <v>64</v>
      </c>
      <c r="M12" s="32">
        <f>IF((IF(تنظیمات!E18=دیتا!$H$3,(((تنظیمات!F18)*12)+تنظیمات!G18)*1,(((تنظیمات!F18)*12)+تنظیمات!G18)))=0,0,IF(تنظیمات!E18=دیتا!$H$3,(((تنظیمات!F18)*12)+تنظیمات!G18)*1,(((تنظیمات!F18)*12)+تنظیمات!G18)))</f>
        <v>64</v>
      </c>
      <c r="N12" s="32" t="str">
        <f t="shared" si="0"/>
        <v>2</v>
      </c>
      <c r="O12" s="32">
        <f>IF(K12="","",IF(OR(تنظیمات!$E$2=دیتا!$G$15,تنظیمات!$E$2=دیتا!$G$16,تنظیمات!$E$2=دیتا!$G$17,تنظیمات!$E$2=دیتا!$G$18,تنظیمات!$E$2=دیتا!$G$19,تنظیمات!$E$2=دیتا!$G$20,تنظیمات!$E$2=دیتا!$G$21),2,1.5))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>1.5</v>
      </c>
      <c r="P12" s="32">
        <f>IF(K12="","",IF(تنظیمات!I18=دیتا!$T$2,1,0))</f>
        <v>1</v>
      </c>
      <c r="Q12" s="32" t="str">
        <f>تنظیمات!J18</f>
        <v>پیمانی</v>
      </c>
      <c r="R12" s="32" t="str">
        <f>تنظیمات!H18</f>
        <v>✔</v>
      </c>
      <c r="S12" s="32">
        <f>IF(AND(دیتا!Q12=دیتا!$I$2,دیتا!R12=دیتا!$T$2)," ",IF(AND(دیتا!Q12=دیتا!$I$2,دیتا!R12=دیتا!$T$3),"",IF(K12="","",IF(تنظیمات!H18=دیتا!$T$2,44-(N12+O12+P12),44))))</f>
        <v>39.5</v>
      </c>
      <c r="W12" s="32" t="str">
        <f>'برنامه فروردین'!F15</f>
        <v>دکتر عاطفه</v>
      </c>
    </row>
    <row r="13" spans="1:23" ht="20.100000000000001" customHeight="1">
      <c r="A13" s="32" t="s">
        <v>94</v>
      </c>
      <c r="B13" s="32">
        <v>1403</v>
      </c>
      <c r="C13" s="32" t="s">
        <v>119</v>
      </c>
      <c r="E13" s="32">
        <f ca="1">SUM(IF(COUNTIF(E5:E35,E5:E35)=1,1,0))</f>
        <v>1</v>
      </c>
      <c r="G13" s="305" t="s">
        <v>153</v>
      </c>
      <c r="H13" s="305"/>
      <c r="I13" s="305"/>
      <c r="J13" s="32">
        <f>IFERROR((IFERROR(RANK(L13,$L$3:$L$41,0)+COUNTIF($L$3:L13,L13)-1,"")+1),"")</f>
        <v>12</v>
      </c>
      <c r="K13" s="32" t="str">
        <f>IF(تنظیمات!C19="","",تنظیمات!C19)</f>
        <v/>
      </c>
      <c r="L13" s="32">
        <f>IF((IF(تنظیمات!E19=دیتا!$H$3,(((تنظیمات!F19)*12)+تنظیمات!G19)*100,(((تنظیمات!F19)*12)+تنظیمات!G19)))=0,0,IF(تنظیمات!E19=دیتا!$H$3,(((تنظیمات!F19)*12)+تنظیمات!G19)*100,(((تنظیمات!F19)*12)+تنظیمات!G19)))</f>
        <v>0</v>
      </c>
      <c r="M13" s="32">
        <f>IF((IF(تنظیمات!E19=دیتا!$H$3,(((تنظیمات!F19)*12)+تنظیمات!G19)*1,(((تنظیمات!F19)*12)+تنظیمات!G19)))=0,0,IF(تنظیمات!E19=دیتا!$H$3,(((تنظیمات!F19)*12)+تنظیمات!G19)*1,(((تنظیمات!F19)*12)+تنظیمات!G19)))</f>
        <v>0</v>
      </c>
      <c r="N13" s="32" t="str">
        <f t="shared" si="0"/>
        <v/>
      </c>
      <c r="O13" s="32" t="str">
        <f>IF(K13="","",IF(OR(تنظیمات!$E$2=دیتا!$G$15,تنظیمات!$E$2=دیتا!$G$16,تنظیمات!$E$2=دیتا!$G$17,تنظیمات!$E$2=دیتا!$G$18,تنظیمات!$E$2=دیتا!$G$19,تنظیمات!$E$2=دیتا!$G$20,تنظیمات!$E$2=دیتا!$G$21),2,1.5))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13" s="32" t="str">
        <f>IF(K13="","",IF(تنظیمات!I19=دیتا!$T$2,1,0))</f>
        <v/>
      </c>
      <c r="Q13" s="32">
        <f>تنظیمات!J19</f>
        <v>0</v>
      </c>
      <c r="R13" s="32">
        <f>تنظیمات!H19</f>
        <v>0</v>
      </c>
      <c r="S13" s="32" t="str">
        <f>IF(AND(دیتا!Q13=دیتا!$I$2,دیتا!R13=دیتا!$T$2)," ",IF(AND(دیتا!Q13=دیتا!$I$2,دیتا!R13=دیتا!$T$3),"",IF(K13="","",IF(تنظیمات!H19=دیتا!$T$2,44-(N13+O13+P13),44))))</f>
        <v/>
      </c>
      <c r="W13" s="32" t="str">
        <f>'برنامه فروردین'!F16</f>
        <v/>
      </c>
    </row>
    <row r="14" spans="1:23" ht="20.100000000000001" customHeight="1">
      <c r="A14" s="32" t="s">
        <v>111</v>
      </c>
      <c r="B14" s="32">
        <v>1401</v>
      </c>
      <c r="C14" s="32" t="s">
        <v>72</v>
      </c>
      <c r="G14" s="305"/>
      <c r="H14" s="305"/>
      <c r="I14" s="305"/>
      <c r="J14" s="32">
        <f>IFERROR((IFERROR(RANK(L14,$L$3:$L$41,0)+COUNTIF($L$3:L14,L14)-1,"")+1),"")</f>
        <v>13</v>
      </c>
      <c r="K14" s="32" t="str">
        <f>IF(تنظیمات!C20="","",تنظیمات!C20)</f>
        <v/>
      </c>
      <c r="L14" s="32">
        <f>IF((IF(تنظیمات!E20=دیتا!$H$3,(((تنظیمات!F20)*12)+تنظیمات!G20)*100,(((تنظیمات!F20)*12)+تنظیمات!G20)))=0,0,IF(تنظیمات!E20=دیتا!$H$3,(((تنظیمات!F20)*12)+تنظیمات!G20)*100,(((تنظیمات!F20)*12)+تنظیمات!G20)))</f>
        <v>0</v>
      </c>
      <c r="M14" s="32">
        <f>IF((IF(تنظیمات!E20=دیتا!$H$3,(((تنظیمات!F20)*12)+تنظیمات!G20)*1,(((تنظیمات!F20)*12)+تنظیمات!G20)))=0,0,IF(تنظیمات!E20=دیتا!$H$3,(((تنظیمات!F20)*12)+تنظیمات!G20)*1,(((تنظیمات!F20)*12)+تنظیمات!G20)))</f>
        <v>0</v>
      </c>
      <c r="N14" s="32" t="str">
        <f t="shared" si="0"/>
        <v/>
      </c>
      <c r="O14" s="32" t="str">
        <f>IF(K14="","",IF(OR(تنظیمات!$E$2=دیتا!$G$15,تنظیمات!$E$2=دیتا!$G$16,تنظیمات!$E$2=دیتا!$G$17,تنظیمات!$E$2=دیتا!$G$18,تنظیمات!$E$2=دیتا!$G$19,تنظیمات!$E$2=دیتا!$G$20,تنظیمات!$E$2=دیتا!$G$21),2,1.5))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14" s="32" t="str">
        <f>IF(K14="","",IF(تنظیمات!I20=دیتا!$T$2,1,0))</f>
        <v/>
      </c>
      <c r="Q14" s="32">
        <f>تنظیمات!J20</f>
        <v>0</v>
      </c>
      <c r="R14" s="32">
        <f>تنظیمات!H20</f>
        <v>0</v>
      </c>
      <c r="S14" s="32" t="str">
        <f>IF(AND(دیتا!Q14=دیتا!$I$2,دیتا!R14=دیتا!$T$2)," ",IF(AND(دیتا!Q14=دیتا!$I$2,دیتا!R14=دیتا!$T$3),"",IF(K14="","",IF(تنظیمات!H20=دیتا!$T$2,44-(N14+O14+P14),44))))</f>
        <v/>
      </c>
      <c r="W14" s="32" t="str">
        <f>'برنامه فروردین'!F17</f>
        <v/>
      </c>
    </row>
    <row r="15" spans="1:23" ht="20.100000000000001" customHeight="1">
      <c r="A15" s="32" t="s">
        <v>112</v>
      </c>
      <c r="B15" s="32">
        <v>1401</v>
      </c>
      <c r="C15" s="32" t="s">
        <v>93</v>
      </c>
      <c r="G15" s="53" t="s">
        <v>154</v>
      </c>
      <c r="J15" s="32">
        <f>IFERROR((IFERROR(RANK(L15,$L$3:$L$41,0)+COUNTIF($L$3:L15,L15)-1,"")+1),"")</f>
        <v>14</v>
      </c>
      <c r="K15" s="32" t="str">
        <f>IF(تنظیمات!C21="","",تنظیمات!C21)</f>
        <v/>
      </c>
      <c r="L15" s="32">
        <f>IF((IF(تنظیمات!E21=دیتا!$H$3,(((تنظیمات!F21)*12)+تنظیمات!G21)*100,(((تنظیمات!F21)*12)+تنظیمات!G21)))=0,0,IF(تنظیمات!E21=دیتا!$H$3,(((تنظیمات!F21)*12)+تنظیمات!G21)*100,(((تنظیمات!F21)*12)+تنظیمات!G21)))</f>
        <v>0</v>
      </c>
      <c r="M15" s="32">
        <f>IF((IF(تنظیمات!E21=دیتا!$H$3,(((تنظیمات!F21)*12)+تنظیمات!G21)*1,(((تنظیمات!F21)*12)+تنظیمات!G21)))=0,0,IF(تنظیمات!E21=دیتا!$H$3,(((تنظیمات!F21)*12)+تنظیمات!G21)*1,(((تنظیمات!F21)*12)+تنظیمات!G21)))</f>
        <v>0</v>
      </c>
      <c r="N15" s="32" t="str">
        <f t="shared" si="0"/>
        <v/>
      </c>
      <c r="O15" s="32" t="str">
        <f>IF(K15="","",IF(OR(تنظیمات!$E$2=دیتا!$G$15,تنظیمات!$E$2=دیتا!$G$16,تنظیمات!$E$2=دیتا!$G$17,تنظیمات!$E$2=دیتا!$G$18,تنظیمات!$E$2=دیتا!$G$19,تنظیمات!$E$2=دیتا!$G$20,تنظیمات!$E$2=دیتا!$G$21),2,1.5))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15" s="32" t="str">
        <f>IF(K15="","",IF(تنظیمات!I21=دیتا!$T$2,1,0))</f>
        <v/>
      </c>
      <c r="Q15" s="32">
        <f>تنظیمات!J21</f>
        <v>0</v>
      </c>
      <c r="R15" s="32">
        <f>تنظیمات!H21</f>
        <v>0</v>
      </c>
      <c r="S15" s="32" t="str">
        <f>IF(AND(دیتا!Q15=دیتا!$I$2,دیتا!R15=دیتا!$T$2)," ",IF(AND(دیتا!Q15=دیتا!$I$2,دیتا!R15=دیتا!$T$3),"",IF(K15="","",IF(تنظیمات!H21=دیتا!$T$2,44-(N15+O15+P15),44))))</f>
        <v/>
      </c>
      <c r="W15" s="32" t="str">
        <f>'برنامه فروردین'!F18</f>
        <v/>
      </c>
    </row>
    <row r="16" spans="1:23" ht="20.100000000000001" customHeight="1">
      <c r="A16" s="32" t="s">
        <v>114</v>
      </c>
      <c r="B16" s="32">
        <v>1401</v>
      </c>
      <c r="C16" s="32" t="s">
        <v>113</v>
      </c>
      <c r="G16" s="53" t="s">
        <v>155</v>
      </c>
      <c r="J16" s="32">
        <f>IFERROR((IFERROR(RANK(L16,$L$3:$L$41,0)+COUNTIF($L$3:L16,L16)-1,"")+1),"")</f>
        <v>15</v>
      </c>
      <c r="K16" s="32" t="str">
        <f>IF(تنظیمات!C22="","",تنظیمات!C22)</f>
        <v/>
      </c>
      <c r="L16" s="32">
        <f>IF((IF(تنظیمات!E22=دیتا!$H$3,(((تنظیمات!F22)*12)+تنظیمات!G22)*100,(((تنظیمات!F22)*12)+تنظیمات!G22)))=0,0,IF(تنظیمات!E22=دیتا!$H$3,(((تنظیمات!F22)*12)+تنظیمات!G22)*100,(((تنظیمات!F22)*12)+تنظیمات!G22)))</f>
        <v>0</v>
      </c>
      <c r="M16" s="32">
        <f>IF((IF(تنظیمات!E22=دیتا!$H$3,(((تنظیمات!F22)*12)+تنظیمات!G22)*1,(((تنظیمات!F22)*12)+تنظیمات!G22)))=0,0,IF(تنظیمات!E22=دیتا!$H$3,(((تنظیمات!F22)*12)+تنظیمات!G22)*1,(((تنظیمات!F22)*12)+تنظیمات!G22)))</f>
        <v>0</v>
      </c>
      <c r="N16" s="32" t="str">
        <f t="shared" si="0"/>
        <v/>
      </c>
      <c r="O16" s="32" t="str">
        <f>IF(K16="","",IF(OR(تنظیمات!$E$2=دیتا!$G$15,تنظیمات!$E$2=دیتا!$G$16,تنظیمات!$E$2=دیتا!$G$17,تنظیمات!$E$2=دیتا!$G$18,تنظیمات!$E$2=دیتا!$G$19,تنظیمات!$E$2=دیتا!$G$20,تنظیمات!$E$2=دیتا!$G$21),2,1.5))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16" s="32" t="str">
        <f>IF(K16="","",IF(تنظیمات!I22=دیتا!$T$2,1,0))</f>
        <v/>
      </c>
      <c r="Q16" s="32">
        <f>تنظیمات!J22</f>
        <v>0</v>
      </c>
      <c r="R16" s="32">
        <f>تنظیمات!H22</f>
        <v>0</v>
      </c>
      <c r="S16" s="32" t="str">
        <f>IF(AND(دیتا!Q16=دیتا!$I$2,دیتا!R16=دیتا!$T$2)," ",IF(AND(دیتا!Q16=دیتا!$I$2,دیتا!R16=دیتا!$T$3),"",IF(K16="","",IF(تنظیمات!H22=دیتا!$T$2,44-(N16+O16+P16),44))))</f>
        <v/>
      </c>
      <c r="W16" s="32" t="str">
        <f>'برنامه فروردین'!F19</f>
        <v/>
      </c>
    </row>
    <row r="17" spans="1:23" ht="20.100000000000001" customHeight="1">
      <c r="A17" s="32" t="s">
        <v>115</v>
      </c>
      <c r="B17" s="32">
        <v>1401</v>
      </c>
      <c r="C17" s="32" t="s">
        <v>119</v>
      </c>
      <c r="G17" s="53" t="s">
        <v>156</v>
      </c>
      <c r="J17" s="32">
        <f>IFERROR((IFERROR(RANK(L17,$L$3:$L$41,0)+COUNTIF($L$3:L17,L17)-1,"")+1),"")</f>
        <v>16</v>
      </c>
      <c r="K17" s="32" t="str">
        <f>IF(تنظیمات!C23="","",تنظیمات!C23)</f>
        <v/>
      </c>
      <c r="L17" s="32">
        <f>IF((IF(تنظیمات!E23=دیتا!$H$3,(((تنظیمات!F23)*12)+تنظیمات!G23)*100,(((تنظیمات!F23)*12)+تنظیمات!G23)))=0,0,IF(تنظیمات!E23=دیتا!$H$3,(((تنظیمات!F23)*12)+تنظیمات!G23)*100,(((تنظیمات!F23)*12)+تنظیمات!G23)))</f>
        <v>0</v>
      </c>
      <c r="M17" s="32">
        <f>IF((IF(تنظیمات!E23=دیتا!$H$3,(((تنظیمات!F23)*12)+تنظیمات!G23)*1,(((تنظیمات!F23)*12)+تنظیمات!G23)))=0,0,IF(تنظیمات!E23=دیتا!$H$3,(((تنظیمات!F23)*12)+تنظیمات!G23)*1,(((تنظیمات!F23)*12)+تنظیمات!G23)))</f>
        <v>0</v>
      </c>
      <c r="O17" s="32" t="str">
        <f>IF(K17="","",IF(OR(تنظیمات!$E$2=دیتا!$G$15,تنظیمات!$E$2=دیتا!$G$16,تنظیمات!$E$2=دیتا!$G$17,تنظیمات!$E$2=دیتا!$G$18,تنظیمات!$E$2=دیتا!$G$19,تنظیمات!$E$2=دیتا!$G$20,تنظیمات!$E$2=دیتا!$G$21),2,1.5))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17" s="32" t="str">
        <f>IF(K17="","",IF(تنظیمات!I23=دیتا!$T$2,1,0))</f>
        <v/>
      </c>
      <c r="Q17" s="32">
        <f>تنظیمات!J23</f>
        <v>0</v>
      </c>
      <c r="R17" s="32">
        <f>تنظیمات!H23</f>
        <v>0</v>
      </c>
      <c r="S17" s="32" t="str">
        <f>IF(AND(دیتا!Q17=دیتا!$I$2,دیتا!R17=دیتا!$T$2)," ",IF(AND(دیتا!Q17=دیتا!$I$2,دیتا!R17=دیتا!$T$3),"",IF(K17="","",IF(تنظیمات!H23=دیتا!$T$2,44-(N17+O17+P17),44))))</f>
        <v/>
      </c>
      <c r="W17" s="32" t="str">
        <f>'برنامه فروردین'!F20</f>
        <v/>
      </c>
    </row>
    <row r="18" spans="1:23" ht="20.100000000000001" customHeight="1">
      <c r="A18" s="32" t="s">
        <v>118</v>
      </c>
      <c r="B18" s="32">
        <v>1401</v>
      </c>
      <c r="C18" s="32" t="s">
        <v>70</v>
      </c>
      <c r="G18" s="53" t="s">
        <v>157</v>
      </c>
      <c r="J18" s="32">
        <f>IFERROR((IFERROR(RANK(L18,$L$3:$L$41,0)+COUNTIF($L$3:L18,L18)-1,"")+1),"")</f>
        <v>17</v>
      </c>
      <c r="K18" s="32" t="str">
        <f>IF(تنظیمات!C24="","",تنظیمات!C24)</f>
        <v/>
      </c>
      <c r="L18" s="32">
        <f>IF((IF(تنظیمات!E24=دیتا!$H$3,(((تنظیمات!F24)*12)+تنظیمات!G24)*100,(((تنظیمات!F24)*12)+تنظیمات!G24)))=0,0,IF(تنظیمات!E24=دیتا!$H$3,(((تنظیمات!F24)*12)+تنظیمات!G24)*100,(((تنظیمات!F24)*12)+تنظیمات!G24)))</f>
        <v>0</v>
      </c>
      <c r="M18" s="32">
        <f>IF((IF(تنظیمات!E24=دیتا!$H$3,(((تنظیمات!F24)*12)+تنظیمات!G24)*1,(((تنظیمات!F24)*12)+تنظیمات!G24)))=0,0,IF(تنظیمات!E24=دیتا!$H$3,(((تنظیمات!F24)*12)+تنظیمات!G24)*1,(((تنظیمات!F24)*12)+تنظیمات!G24)))</f>
        <v>0</v>
      </c>
      <c r="N18" s="32" t="str">
        <f t="shared" si="0"/>
        <v/>
      </c>
      <c r="O18" s="32" t="str">
        <f>IF(K18="","",IF(OR(تنظیمات!$E$2=دیتا!$G$15,تنظیمات!$E$2=دیتا!$G$16,تنظیمات!$E$2=دیتا!$G$17,تنظیمات!$E$2=دیتا!$G$18,تنظیمات!$E$2=دیتا!$G$19,تنظیمات!$E$2=دیتا!$G$20,تنظیمات!$E$2=دیتا!$G$21),2,1.5))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18" s="32" t="str">
        <f>IF(K18="","",IF(تنظیمات!I24=دیتا!$T$2,1,0))</f>
        <v/>
      </c>
      <c r="Q18" s="32">
        <f>تنظیمات!J24</f>
        <v>0</v>
      </c>
      <c r="R18" s="32">
        <f>تنظیمات!H24</f>
        <v>0</v>
      </c>
      <c r="S18" s="32" t="str">
        <f>IF(AND(دیتا!Q18=دیتا!$I$2,دیتا!R18=دیتا!$T$2)," ",IF(AND(دیتا!Q18=دیتا!$I$2,دیتا!R18=دیتا!$T$3),"",IF(K18="","",IF(تنظیمات!H24=دیتا!$T$2,44-(N18+O18+P18),44))))</f>
        <v/>
      </c>
      <c r="W18" s="32" t="str">
        <f>'برنامه فروردین'!F21</f>
        <v/>
      </c>
    </row>
    <row r="19" spans="1:23" ht="20.100000000000001" customHeight="1">
      <c r="A19" s="32" t="s">
        <v>120</v>
      </c>
      <c r="B19" s="32">
        <v>1401</v>
      </c>
      <c r="C19" s="32" t="s">
        <v>116</v>
      </c>
      <c r="G19" s="53" t="s">
        <v>13</v>
      </c>
      <c r="J19" s="32">
        <f>IFERROR((IFERROR(RANK(L19,$L$3:$L$41,0)+COUNTIF($L$3:L19,L19)-1,"")+1),"")</f>
        <v>18</v>
      </c>
      <c r="K19" s="32" t="str">
        <f>IF(تنظیمات!C25="","",تنظیمات!C25)</f>
        <v/>
      </c>
      <c r="L19" s="32">
        <f>IF((IF(تنظیمات!E25=دیتا!$H$3,(((تنظیمات!F25)*12)+تنظیمات!G25)*100,(((تنظیمات!F25)*12)+تنظیمات!G25)))=0,0,IF(تنظیمات!E25=دیتا!$H$3,(((تنظیمات!F25)*12)+تنظیمات!G25)*100,(((تنظیمات!F25)*12)+تنظیمات!G25)))</f>
        <v>0</v>
      </c>
      <c r="M19" s="32">
        <f>IF((IF(تنظیمات!E25=دیتا!$H$3,(((تنظیمات!F25)*12)+تنظیمات!G25)*1,(((تنظیمات!F25)*12)+تنظیمات!G25)))=0,0,IF(تنظیمات!E25=دیتا!$H$3,(((تنظیمات!F25)*12)+تنظیمات!G25)*1,(((تنظیمات!F25)*12)+تنظیمات!G25)))</f>
        <v>0</v>
      </c>
      <c r="N19" s="32" t="str">
        <f t="shared" si="0"/>
        <v/>
      </c>
      <c r="O19" s="32" t="str">
        <f>IF(K19="","",IF(OR(تنظیمات!$E$2=دیتا!$G$15,تنظیمات!$E$2=دیتا!$G$16,تنظیمات!$E$2=دیتا!$G$17,تنظیمات!$E$2=دیتا!$G$18,تنظیمات!$E$2=دیتا!$G$19,تنظیمات!$E$2=دیتا!$G$20,تنظیمات!$E$2=دیتا!$G$21),2,1.5))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19" s="32" t="str">
        <f>IF(K19="","",IF(تنظیمات!I25=دیتا!$T$2,1,0))</f>
        <v/>
      </c>
      <c r="Q19" s="32">
        <f>تنظیمات!J25</f>
        <v>0</v>
      </c>
      <c r="R19" s="32">
        <f>تنظیمات!H25</f>
        <v>0</v>
      </c>
      <c r="S19" s="32" t="str">
        <f>IF(AND(دیتا!Q19=دیتا!$I$2,دیتا!R19=دیتا!$T$2)," ",IF(AND(دیتا!Q19=دیتا!$I$2,دیتا!R19=دیتا!$T$3),"",IF(K19="","",IF(تنظیمات!H25=دیتا!$T$2,44-(N19+O19+P19),44))))</f>
        <v/>
      </c>
      <c r="W19" s="32" t="str">
        <f>'برنامه فروردین'!F22</f>
        <v/>
      </c>
    </row>
    <row r="20" spans="1:23" ht="20.100000000000001" customHeight="1">
      <c r="A20" s="32" t="s">
        <v>121</v>
      </c>
      <c r="B20" s="32">
        <v>1401</v>
      </c>
      <c r="C20" s="32" t="s">
        <v>71</v>
      </c>
      <c r="G20" s="53"/>
      <c r="J20" s="32">
        <f>IFERROR((IFERROR(RANK(L20,$L$3:$L$41,0)+COUNTIF($L$3:L20,L20)-1,"")+1),"")</f>
        <v>19</v>
      </c>
      <c r="K20" s="32" t="str">
        <f>IF(تنظیمات!C26="","",تنظیمات!C26)</f>
        <v/>
      </c>
      <c r="L20" s="32">
        <f>IF((IF(تنظیمات!E26=دیتا!$H$3,(((تنظیمات!F26)*12)+تنظیمات!G26)*100,(((تنظیمات!F26)*12)+تنظیمات!G26)))=0,0,IF(تنظیمات!E26=دیتا!$H$3,(((تنظیمات!F26)*12)+تنظیمات!G26)*100,(((تنظیمات!F26)*12)+تنظیمات!G26)))</f>
        <v>0</v>
      </c>
      <c r="M20" s="32">
        <f>IF((IF(تنظیمات!E26=دیتا!$H$3,(((تنظیمات!F26)*12)+تنظیمات!G26)*1,(((تنظیمات!F26)*12)+تنظیمات!G26)))=0,0,IF(تنظیمات!E26=دیتا!$H$3,(((تنظیمات!F26)*12)+تنظیمات!G26)*1,(((تنظیمات!F26)*12)+تنظیمات!G26)))</f>
        <v>0</v>
      </c>
      <c r="N20" s="32" t="str">
        <f t="shared" si="0"/>
        <v/>
      </c>
      <c r="O20" s="32" t="str">
        <f>IF(K20="","",IF(OR(تنظیمات!$E$2=دیتا!$G$15,تنظیمات!$E$2=دیتا!$G$16,تنظیمات!$E$2=دیتا!$G$17,تنظیمات!$E$2=دیتا!$G$18,تنظیمات!$E$2=دیتا!$G$19,تنظیمات!$E$2=دیتا!$G$20,تنظیمات!$E$2=دیتا!$G$21),2,1.5))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0" s="32" t="str">
        <f>IF(K20="","",IF(تنظیمات!I26=دیتا!$T$2,1,0))</f>
        <v/>
      </c>
      <c r="Q20" s="32">
        <f>تنظیمات!J26</f>
        <v>0</v>
      </c>
      <c r="R20" s="32">
        <f>تنظیمات!H26</f>
        <v>0</v>
      </c>
      <c r="S20" s="32" t="str">
        <f>IF(AND(دیتا!Q20=دیتا!$I$2,دیتا!R20=دیتا!$T$2)," ",IF(AND(دیتا!Q20=دیتا!$I$2,دیتا!R20=دیتا!$T$3),"",IF(K20="","",IF(تنظیمات!H26=دیتا!$T$2,44-(N20+O20+P20),44))))</f>
        <v/>
      </c>
      <c r="W20" s="32" t="str">
        <f>'برنامه فروردین'!F23</f>
        <v/>
      </c>
    </row>
    <row r="21" spans="1:23" ht="20.100000000000001" customHeight="1">
      <c r="A21" s="32" t="s">
        <v>122</v>
      </c>
      <c r="B21" s="32">
        <v>1401</v>
      </c>
      <c r="C21" s="32" t="s">
        <v>113</v>
      </c>
      <c r="G21" s="53"/>
      <c r="J21" s="32">
        <f>IFERROR((IFERROR(RANK(L21,$L$3:$L$41,0)+COUNTIF($L$3:L21,L21)-1,"")+1),"")</f>
        <v>20</v>
      </c>
      <c r="K21" s="32" t="str">
        <f>IF(تنظیمات!C27="","",تنظیمات!C27)</f>
        <v/>
      </c>
      <c r="L21" s="32">
        <f>IF((IF(تنظیمات!E27=دیتا!$H$3,(((تنظیمات!F27)*12)+تنظیمات!G27)*100,(((تنظیمات!F27)*12)+تنظیمات!G27)))=0,0,IF(تنظیمات!E27=دیتا!$H$3,(((تنظیمات!F27)*12)+تنظیمات!G27)*100,(((تنظیمات!F27)*12)+تنظیمات!G27)))</f>
        <v>0</v>
      </c>
      <c r="M21" s="32">
        <f>IF((IF(تنظیمات!E27=دیتا!$H$3,(((تنظیمات!F27)*12)+تنظیمات!G27)*1,(((تنظیمات!F27)*12)+تنظیمات!G27)))=0,0,IF(تنظیمات!E27=دیتا!$H$3,(((تنظیمات!F27)*12)+تنظیمات!G27)*1,(((تنظیمات!F27)*12)+تنظیمات!G27)))</f>
        <v>0</v>
      </c>
      <c r="N21" s="32" t="str">
        <f t="shared" si="0"/>
        <v/>
      </c>
      <c r="O21" s="32" t="str">
        <f>IF(K21="","",IF(OR(تنظیمات!$E$2=دیتا!$G$15,تنظیمات!$E$2=دیتا!$G$16,تنظیمات!$E$2=دیتا!$G$17,تنظیمات!$E$2=دیتا!$G$18,تنظیمات!$E$2=دیتا!$G$19,تنظیمات!$E$2=دیتا!$G$20,تنظیمات!$E$2=دیتا!$G$21),2,1.5))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1" s="32" t="str">
        <f>IF(K21="","",IF(تنظیمات!I27=دیتا!$T$2,1,0))</f>
        <v/>
      </c>
      <c r="Q21" s="32">
        <f>تنظیمات!J27</f>
        <v>0</v>
      </c>
      <c r="R21" s="32">
        <f>تنظیمات!H27</f>
        <v>0</v>
      </c>
      <c r="S21" s="32" t="str">
        <f>IF(AND(دیتا!Q21=دیتا!$I$2,دیتا!R21=دیتا!$T$2)," ",IF(AND(دیتا!Q21=دیتا!$I$2,دیتا!R21=دیتا!$T$3),"",IF(K21="","",IF(تنظیمات!H27=دیتا!$T$2,44-(N21+O21+P21),44))))</f>
        <v/>
      </c>
      <c r="W21" s="32" t="str">
        <f>'برنامه فروردین'!F24</f>
        <v/>
      </c>
    </row>
    <row r="22" spans="1:23" ht="20.100000000000001" customHeight="1">
      <c r="A22" s="32" t="s">
        <v>123</v>
      </c>
      <c r="B22" s="32">
        <v>1401</v>
      </c>
      <c r="C22" s="32" t="s">
        <v>116</v>
      </c>
      <c r="G22" s="9" t="s">
        <v>21</v>
      </c>
      <c r="J22" s="32">
        <f>IFERROR((IFERROR(RANK(L22,$L$3:$L$41,0)+COUNTIF($L$3:L22,L22)-1,"")+1),"")</f>
        <v>21</v>
      </c>
      <c r="K22" s="32" t="str">
        <f>IF(تنظیمات!C28="","",تنظیمات!C28)</f>
        <v/>
      </c>
      <c r="L22" s="32">
        <f>IF((IF(تنظیمات!E28=دیتا!$H$3,(((تنظیمات!F28)*12)+تنظیمات!G28)*100,(((تنظیمات!F28)*12)+تنظیمات!G28)))=0,0,IF(تنظیمات!E28=دیتا!$H$3,(((تنظیمات!F28)*12)+تنظیمات!G28)*100,(((تنظیمات!F28)*12)+تنظیمات!G28)))</f>
        <v>0</v>
      </c>
      <c r="M22" s="32">
        <f>IF((IF(تنظیمات!E28=دیتا!$H$3,(((تنظیمات!F28)*12)+تنظیمات!G28)*1,(((تنظیمات!F28)*12)+تنظیمات!G28)))=0,0,IF(تنظیمات!E28=دیتا!$H$3,(((تنظیمات!F28)*12)+تنظیمات!G28)*1,(((تنظیمات!F28)*12)+تنظیمات!G28)))</f>
        <v>0</v>
      </c>
      <c r="N22" s="32" t="str">
        <f t="shared" si="0"/>
        <v/>
      </c>
      <c r="O22" s="32" t="str">
        <f>IF(K22="","",IF(OR(تنظیمات!$E$2=دیتا!$G$15,تنظیمات!$E$2=دیتا!$G$16,تنظیمات!$E$2=دیتا!$G$17,تنظیمات!$E$2=دیتا!$G$18,تنظیمات!$E$2=دیتا!$G$19,تنظیمات!$E$2=دیتا!$G$20,تنظیمات!$E$2=دیتا!$G$21),2,1.5))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2" s="32" t="str">
        <f>IF(K22="","",IF(تنظیمات!I28=دیتا!$T$2,1,0))</f>
        <v/>
      </c>
      <c r="Q22" s="32">
        <f>تنظیمات!J28</f>
        <v>0</v>
      </c>
      <c r="R22" s="32">
        <f>تنظیمات!H28</f>
        <v>0</v>
      </c>
      <c r="S22" s="32" t="str">
        <f>IF(AND(دیتا!Q22=دیتا!$I$2,دیتا!R22=دیتا!$T$2)," ",IF(AND(دیتا!Q22=دیتا!$I$2,دیتا!R22=دیتا!$T$3),"",IF(K22="","",IF(تنظیمات!H28=دیتا!$T$2,44-(N22+O22+P22),44))))</f>
        <v/>
      </c>
      <c r="W22" s="32" t="str">
        <f>'برنامه فروردین'!F25</f>
        <v/>
      </c>
    </row>
    <row r="23" spans="1:23" ht="20.100000000000001" customHeight="1">
      <c r="A23" s="32" t="s">
        <v>124</v>
      </c>
      <c r="B23" s="32">
        <v>1401</v>
      </c>
      <c r="C23" s="32" t="s">
        <v>93</v>
      </c>
      <c r="G23" s="9" t="s">
        <v>11</v>
      </c>
      <c r="J23" s="32">
        <f>IFERROR((IFERROR(RANK(L23,$L$3:$L$41,0)+COUNTIF($L$3:L23,L23)-1,"")+1),"")</f>
        <v>22</v>
      </c>
      <c r="K23" s="32" t="str">
        <f>IF(تنظیمات!C29="","",تنظیمات!C29)</f>
        <v/>
      </c>
      <c r="L23" s="32">
        <f>IF((IF(تنظیمات!E29=دیتا!$H$3,(((تنظیمات!F29)*12)+تنظیمات!G29)*100,(((تنظیمات!F29)*12)+تنظیمات!G29)))=0,0,IF(تنظیمات!E29=دیتا!$H$3,(((تنظیمات!F29)*12)+تنظیمات!G29)*100,(((تنظیمات!F29)*12)+تنظیمات!G29)))</f>
        <v>0</v>
      </c>
      <c r="M23" s="32">
        <f>IF((IF(تنظیمات!E29=دیتا!$H$3,(((تنظیمات!F29)*12)+تنظیمات!G29)*1,(((تنظیمات!F29)*12)+تنظیمات!G29)))=0,0,IF(تنظیمات!E29=دیتا!$H$3,(((تنظیمات!F29)*12)+تنظیمات!G29)*1,(((تنظیمات!F29)*12)+تنظیمات!G29)))</f>
        <v>0</v>
      </c>
      <c r="N23" s="32" t="str">
        <f t="shared" si="0"/>
        <v/>
      </c>
      <c r="O23" s="32" t="str">
        <f>IF(K23="","",IF(OR(تنظیمات!$E$2=دیتا!$G$15,تنظیمات!$E$2=دیتا!$G$16,تنظیمات!$E$2=دیتا!$G$17,تنظیمات!$E$2=دیتا!$G$18,تنظیمات!$E$2=دیتا!$G$19,تنظیمات!$E$2=دیتا!$G$20,تنظیمات!$E$2=دیتا!$G$21),2,1.5))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3" s="32" t="str">
        <f>IF(K23="","",IF(تنظیمات!I29=دیتا!$T$2,1,0))</f>
        <v/>
      </c>
      <c r="Q23" s="32">
        <f>تنظیمات!J29</f>
        <v>0</v>
      </c>
      <c r="R23" s="32">
        <f>تنظیمات!H29</f>
        <v>0</v>
      </c>
      <c r="S23" s="32" t="str">
        <f>IF(AND(دیتا!Q23=دیتا!$I$2,دیتا!R23=دیتا!$T$2)," ",IF(AND(دیتا!Q23=دیتا!$I$2,دیتا!R23=دیتا!$T$3),"",IF(K23="","",IF(تنظیمات!H29=دیتا!$T$2,44-(N23+O23+P23),44))))</f>
        <v/>
      </c>
      <c r="W23" s="32" t="str">
        <f>'برنامه فروردین'!F26</f>
        <v/>
      </c>
    </row>
    <row r="24" spans="1:23" ht="20.100000000000001" customHeight="1">
      <c r="A24" s="32" t="s">
        <v>125</v>
      </c>
      <c r="B24" s="32">
        <v>1401</v>
      </c>
      <c r="C24" s="32" t="s">
        <v>70</v>
      </c>
      <c r="G24" s="9" t="s">
        <v>12</v>
      </c>
      <c r="J24" s="32">
        <f>IFERROR((IFERROR(RANK(L24,$L$3:$L$41,0)+COUNTIF($L$3:L24,L24)-1,"")+1),"")</f>
        <v>23</v>
      </c>
      <c r="K24" s="32" t="str">
        <f>IF(تنظیمات!C30="","",تنظیمات!C30)</f>
        <v/>
      </c>
      <c r="L24" s="32">
        <f>IF((IF(تنظیمات!E30=دیتا!$H$3,(((تنظیمات!F30)*12)+تنظیمات!G30)*100,(((تنظیمات!F30)*12)+تنظیمات!G30)))=0,0,IF(تنظیمات!E30=دیتا!$H$3,(((تنظیمات!F30)*12)+تنظیمات!G30)*100,(((تنظیمات!F30)*12)+تنظیمات!G30)))</f>
        <v>0</v>
      </c>
      <c r="M24" s="32">
        <f>IF((IF(تنظیمات!E30=دیتا!$H$3,(((تنظیمات!F30)*12)+تنظیمات!G30)*1,(((تنظیمات!F30)*12)+تنظیمات!G30)))=0,0,IF(تنظیمات!E30=دیتا!$H$3,(((تنظیمات!F30)*12)+تنظیمات!G30)*1,(((تنظیمات!F30)*12)+تنظیمات!G30)))</f>
        <v>0</v>
      </c>
      <c r="N24" s="32" t="str">
        <f t="shared" si="0"/>
        <v/>
      </c>
      <c r="O24" s="32" t="str">
        <f>IF(K24="","",IF(OR(تنظیمات!$E$2=دیتا!$G$15,تنظیمات!$E$2=دیتا!$G$16,تنظیمات!$E$2=دیتا!$G$17,تنظیمات!$E$2=دیتا!$G$18,تنظیمات!$E$2=دیتا!$G$19,تنظیمات!$E$2=دیتا!$G$20,تنظیمات!$E$2=دیتا!$G$21),2,1.5))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4" s="32" t="str">
        <f>IF(K24="","",IF(تنظیمات!I30=دیتا!$T$2,1,0))</f>
        <v/>
      </c>
      <c r="Q24" s="32">
        <f>تنظیمات!J30</f>
        <v>0</v>
      </c>
      <c r="R24" s="32">
        <f>تنظیمات!H30</f>
        <v>0</v>
      </c>
      <c r="S24" s="32" t="str">
        <f>IF(AND(دیتا!Q24=دیتا!$I$2,دیتا!R24=دیتا!$T$2)," ",IF(AND(دیتا!Q24=دیتا!$I$2,دیتا!R24=دیتا!$T$3),"",IF(K24="","",IF(تنظیمات!H30=دیتا!$T$2,44-(N24+O24+P24),44))))</f>
        <v/>
      </c>
      <c r="W24" s="32" t="str">
        <f>'برنامه فروردین'!F27</f>
        <v/>
      </c>
    </row>
    <row r="25" spans="1:23" ht="20.100000000000001" customHeight="1">
      <c r="A25" s="32" t="s">
        <v>94</v>
      </c>
      <c r="B25" s="32">
        <v>1401</v>
      </c>
      <c r="C25" s="32" t="s">
        <v>72</v>
      </c>
      <c r="G25" s="9" t="s">
        <v>13</v>
      </c>
      <c r="J25" s="32">
        <f>IFERROR((IFERROR(RANK(L25,$L$3:$L$41,0)+COUNTIF($L$3:L25,L25)-1,"")+1),"")</f>
        <v>24</v>
      </c>
      <c r="K25" s="32" t="str">
        <f>IF(تنظیمات!C31="","",تنظیمات!C31)</f>
        <v/>
      </c>
      <c r="L25" s="32">
        <f>IF((IF(تنظیمات!E31=دیتا!$H$3,(((تنظیمات!F31)*12)+تنظیمات!G31)*100,(((تنظیمات!F31)*12)+تنظیمات!G31)))=0,0,IF(تنظیمات!E31=دیتا!$H$3,(((تنظیمات!F31)*12)+تنظیمات!G31)*100,(((تنظیمات!F31)*12)+تنظیمات!G31)))</f>
        <v>0</v>
      </c>
      <c r="M25" s="32">
        <f>IF((IF(تنظیمات!E31=دیتا!$H$3,(((تنظیمات!F31)*12)+تنظیمات!G31)*1,(((تنظیمات!F31)*12)+تنظیمات!G31)))=0,0,IF(تنظیمات!E31=دیتا!$H$3,(((تنظیمات!F31)*12)+تنظیمات!G31)*1,(((تنظیمات!F31)*12)+تنظیمات!G31)))</f>
        <v>0</v>
      </c>
      <c r="N25" s="32" t="str">
        <f t="shared" si="0"/>
        <v/>
      </c>
      <c r="O25" s="32" t="str">
        <f>IF(K25="","",IF(OR(تنظیمات!$E$2=دیتا!$G$15,تنظیمات!$E$2=دیتا!$G$16,تنظیمات!$E$2=دیتا!$G$17,تنظیمات!$E$2=دیتا!$G$18,تنظیمات!$E$2=دیتا!$G$19,تنظیمات!$E$2=دیتا!$G$20,تنظیمات!$E$2=دیتا!$G$21),2,1.5))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5" s="32" t="str">
        <f>IF(K25="","",IF(تنظیمات!I31=دیتا!$T$2,1,0))</f>
        <v/>
      </c>
      <c r="Q25" s="32">
        <f>تنظیمات!J31</f>
        <v>0</v>
      </c>
      <c r="R25" s="32">
        <f>تنظیمات!H31</f>
        <v>0</v>
      </c>
      <c r="S25" s="32" t="str">
        <f>IF(AND(دیتا!Q25=دیتا!$I$2,دیتا!R25=دیتا!$T$2)," ",IF(AND(دیتا!Q25=دیتا!$I$2,دیتا!R25=دیتا!$T$3),"",IF(K25="","",IF(تنظیمات!H31=دیتا!$T$2,44-(N25+O25+P25),44))))</f>
        <v/>
      </c>
      <c r="W25" s="32" t="str">
        <f>'برنامه فروردین'!F28</f>
        <v/>
      </c>
    </row>
    <row r="26" spans="1:23" ht="20.100000000000001" customHeight="1">
      <c r="A26" s="32" t="s">
        <v>111</v>
      </c>
      <c r="B26" s="32">
        <v>1402</v>
      </c>
      <c r="C26" s="32" t="s">
        <v>116</v>
      </c>
      <c r="G26" s="9" t="s">
        <v>82</v>
      </c>
      <c r="J26" s="32">
        <f>IFERROR((IFERROR(RANK(L26,$L$3:$L$41,0)+COUNTIF($L$3:L26,L26)-1,"")+1),"")</f>
        <v>25</v>
      </c>
      <c r="K26" s="32" t="str">
        <f>IF(تنظیمات!C32="","",تنظیمات!C32)</f>
        <v/>
      </c>
      <c r="L26" s="32">
        <f>IF((IF(تنظیمات!E32=دیتا!$H$3,(((تنظیمات!F32)*12)+تنظیمات!G32)*100,(((تنظیمات!F32)*12)+تنظیمات!G32)))=0,0,IF(تنظیمات!E32=دیتا!$H$3,(((تنظیمات!F32)*12)+تنظیمات!G32)*100,(((تنظیمات!F32)*12)+تنظیمات!G32)))</f>
        <v>0</v>
      </c>
      <c r="M26" s="32">
        <f>IF((IF(تنظیمات!E32=دیتا!$H$3,(((تنظیمات!F32)*12)+تنظیمات!G32)*1,(((تنظیمات!F32)*12)+تنظیمات!G32)))=0,0,IF(تنظیمات!E32=دیتا!$H$3,(((تنظیمات!F32)*12)+تنظیمات!G32)*1,(((تنظیمات!F32)*12)+تنظیمات!G32)))</f>
        <v>0</v>
      </c>
      <c r="N26" s="32" t="str">
        <f t="shared" si="0"/>
        <v/>
      </c>
      <c r="O26" s="32" t="str">
        <f>IF(K26="","",IF(OR(تنظیمات!$E$2=دیتا!$G$15,تنظیمات!$E$2=دیتا!$G$16,تنظیمات!$E$2=دیتا!$G$17,تنظیمات!$E$2=دیتا!$G$18,تنظیمات!$E$2=دیتا!$G$19,تنظیمات!$E$2=دیتا!$G$20,تنظیمات!$E$2=دیتا!$G$21),2,1.5))</f>
        <v/>
      </c>
      <c r="P26" s="32" t="str">
        <f>IF(K26="","",IF(تنظیمات!I32=دیتا!$T$2,1,0))</f>
        <v/>
      </c>
      <c r="Q26" s="32">
        <f>تنظیمات!J32</f>
        <v>0</v>
      </c>
      <c r="R26" s="32">
        <f>تنظیمات!H32</f>
        <v>0</v>
      </c>
      <c r="S26" s="32" t="str">
        <f>IF(AND(دیتا!Q26=دیتا!$I$2,دیتا!R26=دیتا!$T$2)," ",IF(AND(دیتا!Q26=دیتا!$I$2,دیتا!R26=دیتا!$T$3),"",IF(K26="","",IF(تنظیمات!H32=دیتا!$T$2,44-(N26+O26+P26),44))))</f>
        <v/>
      </c>
      <c r="W26" s="32" t="str">
        <f>'برنامه فروردین'!F29</f>
        <v/>
      </c>
    </row>
    <row r="27" spans="1:23" ht="20.100000000000001" customHeight="1">
      <c r="A27" s="32" t="s">
        <v>112</v>
      </c>
      <c r="B27" s="32">
        <v>1402</v>
      </c>
      <c r="C27" s="32" t="s">
        <v>71</v>
      </c>
      <c r="G27" s="2" t="s">
        <v>83</v>
      </c>
      <c r="M27" s="32">
        <f>IF((IF(تنظیمات!E33=دیتا!$H$3,(((تنظیمات!F33)*12)+تنظیمات!G33)*1,(((تنظیمات!F33)*12)+تنظیمات!G33)))=0,0,IF(تنظیمات!E33=دیتا!$H$3,(((تنظیمات!F33)*12)+تنظیمات!G33)*1,(((تنظیمات!F33)*12)+تنظیمات!G33)))</f>
        <v>0</v>
      </c>
      <c r="N27" s="32" t="str">
        <f t="shared" si="0"/>
        <v/>
      </c>
      <c r="Q27" s="32">
        <f>تنظیمات!J33</f>
        <v>0</v>
      </c>
      <c r="R27" s="32">
        <f>تنظیمات!H33</f>
        <v>0</v>
      </c>
      <c r="S27" s="32" t="str">
        <f>IF(AND(دیتا!Q27=دیتا!$I$2,دیتا!R27=دیتا!$T$2)," ",IF(AND(دیتا!Q27=دیتا!$I$2,دیتا!R27=دیتا!$T$3),"",IF(K27="","",IF(تنظیمات!H33=دیتا!$T$2,44-(N27+O27+P27),44))))</f>
        <v/>
      </c>
    </row>
    <row r="28" spans="1:23" ht="20.100000000000001" customHeight="1">
      <c r="A28" s="32" t="s">
        <v>114</v>
      </c>
      <c r="B28" s="32">
        <v>1402</v>
      </c>
      <c r="C28" s="32" t="s">
        <v>72</v>
      </c>
      <c r="G28" s="9" t="s">
        <v>14</v>
      </c>
      <c r="M28" s="32">
        <f>IF((IF(تنظیمات!E34=دیتا!$H$3,(((تنظیمات!F34)*12)+تنظیمات!G34)*1,(((تنظیمات!F34)*12)+تنظیمات!G34)))=0,0,IF(تنظیمات!E34=دیتا!$H$3,(((تنظیمات!F34)*12)+تنظیمات!G34)*1,(((تنظیمات!F34)*12)+تنظیمات!G34)))</f>
        <v>0</v>
      </c>
      <c r="N28" s="32" t="str">
        <f t="shared" si="0"/>
        <v/>
      </c>
      <c r="Q28" s="32">
        <f>تنظیمات!J34</f>
        <v>0</v>
      </c>
      <c r="R28" s="32">
        <f>تنظیمات!H34</f>
        <v>0</v>
      </c>
      <c r="S28" s="32" t="str">
        <f>IF(AND(دیتا!Q28=دیتا!$I$2,دیتا!R28=دیتا!$T$2)," ",IF(AND(دیتا!Q28=دیتا!$I$2,دیتا!R28=دیتا!$T$3),"",IF(K28="","",IF(تنظیمات!H34=دیتا!$T$2,44-(N28+O28+P28),44))))</f>
        <v/>
      </c>
    </row>
    <row r="29" spans="1:23" ht="20.100000000000001" customHeight="1">
      <c r="A29" s="32" t="s">
        <v>115</v>
      </c>
      <c r="B29" s="32">
        <v>1402</v>
      </c>
      <c r="C29" s="32" t="s">
        <v>93</v>
      </c>
      <c r="G29" s="9" t="s">
        <v>15</v>
      </c>
      <c r="M29" s="32">
        <f>IF((IF(تنظیمات!E35=دیتا!$H$3,(((تنظیمات!F35)*12)+تنظیمات!G35)*1,(((تنظیمات!F35)*12)+تنظیمات!G35)))=0,0,IF(تنظیمات!E35=دیتا!$H$3,(((تنظیمات!F35)*12)+تنظیمات!G35)*1,(((تنظیمات!F35)*12)+تنظیمات!G35)))</f>
        <v>0</v>
      </c>
      <c r="N29" s="32" t="str">
        <f t="shared" si="0"/>
        <v/>
      </c>
      <c r="Q29" s="32">
        <f>تنظیمات!J35</f>
        <v>0</v>
      </c>
      <c r="R29" s="32">
        <f>تنظیمات!H35</f>
        <v>0</v>
      </c>
      <c r="S29" s="32" t="str">
        <f>IF(AND(دیتا!Q29=دیتا!$I$2,دیتا!R29=دیتا!$T$2)," ",IF(AND(دیتا!Q29=دیتا!$I$2,دیتا!R29=دیتا!$T$3),"",IF(K29="","",IF(تنظیمات!H35=دیتا!$T$2,44-(N29+O29+P29),44))))</f>
        <v/>
      </c>
    </row>
    <row r="30" spans="1:23" ht="20.100000000000001" customHeight="1">
      <c r="A30" s="32" t="s">
        <v>118</v>
      </c>
      <c r="B30" s="32">
        <v>1402</v>
      </c>
      <c r="C30" s="32" t="s">
        <v>113</v>
      </c>
      <c r="G30" s="9" t="s">
        <v>16</v>
      </c>
      <c r="M30" s="32">
        <f>IF((IF(تنظیمات!E36=دیتا!$H$3,(((تنظیمات!F36)*12)+تنظیمات!G36)*1,(((تنظیمات!F36)*12)+تنظیمات!G36)))=0,0,IF(تنظیمات!E36=دیتا!$H$3,(((تنظیمات!F36)*12)+تنظیمات!G36)*1,(((تنظیمات!F36)*12)+تنظیمات!G36)))</f>
        <v>0</v>
      </c>
      <c r="N30" s="32" t="str">
        <f t="shared" si="0"/>
        <v/>
      </c>
      <c r="Q30" s="32">
        <f>تنظیمات!J36</f>
        <v>0</v>
      </c>
      <c r="R30" s="32">
        <f>تنظیمات!H36</f>
        <v>0</v>
      </c>
      <c r="S30" s="32" t="str">
        <f>IF(AND(دیتا!Q30=دیتا!$I$2,دیتا!R30=دیتا!$T$2)," ",IF(AND(دیتا!Q30=دیتا!$I$2,دیتا!R30=دیتا!$T$3),"",IF(K30="","",IF(تنظیمات!H36=دیتا!$T$2,44-(N30+O30+P30),44))))</f>
        <v/>
      </c>
    </row>
    <row r="31" spans="1:23" ht="20.100000000000001" customHeight="1">
      <c r="A31" s="32" t="s">
        <v>120</v>
      </c>
      <c r="B31" s="32">
        <v>1402</v>
      </c>
      <c r="C31" s="32" t="s">
        <v>119</v>
      </c>
      <c r="G31" s="9" t="s">
        <v>17</v>
      </c>
      <c r="M31" s="32">
        <f>IF((IF(تنظیمات!E37=دیتا!$H$3,(((تنظیمات!F37)*12)+تنظیمات!G37)*1,(((تنظیمات!F37)*12)+تنظیمات!G37)))=0,0,IF(تنظیمات!E37=دیتا!$H$3,(((تنظیمات!F37)*12)+تنظیمات!G37)*1,(((تنظیمات!F37)*12)+تنظیمات!G37)))</f>
        <v>0</v>
      </c>
      <c r="N31" s="32" t="str">
        <f t="shared" si="0"/>
        <v/>
      </c>
      <c r="Q31" s="32">
        <f>تنظیمات!J37</f>
        <v>0</v>
      </c>
      <c r="R31" s="32">
        <f>تنظیمات!H37</f>
        <v>0</v>
      </c>
      <c r="S31" s="32" t="str">
        <f>IF(AND(دیتا!Q31=دیتا!$I$2,دیتا!R31=دیتا!$T$2)," ",IF(AND(دیتا!Q31=دیتا!$I$2,دیتا!R31=دیتا!$T$3),"",IF(K31="","",IF(تنظیمات!H37=دیتا!$T$2,44-(N31+O31+P31),44))))</f>
        <v/>
      </c>
    </row>
    <row r="32" spans="1:23" ht="20.100000000000001" customHeight="1">
      <c r="A32" s="32" t="s">
        <v>121</v>
      </c>
      <c r="B32" s="32">
        <v>1402</v>
      </c>
      <c r="C32" s="32" t="s">
        <v>70</v>
      </c>
      <c r="G32" s="9" t="s">
        <v>18</v>
      </c>
      <c r="M32" s="32">
        <f>IF((IF(تنظیمات!E38=دیتا!$H$3,(((تنظیمات!F38)*12)+تنظیمات!G38)*1,(((تنظیمات!F38)*12)+تنظیمات!G38)))=0,0,IF(تنظیمات!E38=دیتا!$H$3,(((تنظیمات!F38)*12)+تنظیمات!G38)*1,(((تنظیمات!F38)*12)+تنظیمات!G38)))</f>
        <v>0</v>
      </c>
      <c r="N32" s="32" t="str">
        <f t="shared" si="0"/>
        <v/>
      </c>
      <c r="Q32" s="32">
        <f>تنظیمات!J38</f>
        <v>0</v>
      </c>
      <c r="R32" s="32">
        <f>تنظیمات!H38</f>
        <v>0</v>
      </c>
      <c r="S32" s="32" t="str">
        <f>IF(AND(دیتا!Q32=دیتا!$I$2,دیتا!R32=دیتا!$T$2)," ",IF(AND(دیتا!Q32=دیتا!$I$2,دیتا!R32=دیتا!$T$3),"",IF(K32="","",IF(تنظیمات!H38=دیتا!$T$2,44-(N32+O32+P32),44))))</f>
        <v/>
      </c>
    </row>
    <row r="33" spans="1:19" ht="20.100000000000001" customHeight="1">
      <c r="A33" s="32" t="s">
        <v>122</v>
      </c>
      <c r="B33" s="32">
        <v>1402</v>
      </c>
      <c r="C33" s="32" t="s">
        <v>72</v>
      </c>
      <c r="G33" s="9" t="s">
        <v>22</v>
      </c>
      <c r="M33" s="32">
        <f>IF((IF(تنظیمات!E39=دیتا!$H$3,(((تنظیمات!F39)*12)+تنظیمات!G39)*1,(((تنظیمات!F39)*12)+تنظیمات!G39)))=0,0,IF(تنظیمات!E39=دیتا!$H$3,(((تنظیمات!F39)*12)+تنظیمات!G39)*1,(((تنظیمات!F39)*12)+تنظیمات!G39)))</f>
        <v>0</v>
      </c>
      <c r="N33" s="32" t="str">
        <f t="shared" si="0"/>
        <v/>
      </c>
      <c r="Q33" s="32">
        <f>تنظیمات!J39</f>
        <v>0</v>
      </c>
      <c r="R33" s="32">
        <f>تنظیمات!H39</f>
        <v>0</v>
      </c>
      <c r="S33" s="32" t="str">
        <f>IF(AND(دیتا!Q33=دیتا!$I$2,دیتا!R33=دیتا!$T$2)," ",IF(AND(دیتا!Q33=دیتا!$I$2,دیتا!R33=دیتا!$T$3),"",IF(K33="","",IF(تنظیمات!H39=دیتا!$T$2,44-(N33+O33+P33),44))))</f>
        <v/>
      </c>
    </row>
    <row r="34" spans="1:19" ht="20.100000000000001" customHeight="1">
      <c r="A34" s="32" t="s">
        <v>123</v>
      </c>
      <c r="B34" s="32">
        <v>1402</v>
      </c>
      <c r="C34" s="32" t="s">
        <v>119</v>
      </c>
      <c r="G34" s="9" t="s">
        <v>19</v>
      </c>
      <c r="M34" s="32">
        <f>IF((IF(تنظیمات!E40=دیتا!$H$3,(((تنظیمات!F40)*12)+تنظیمات!G40)*1,(((تنظیمات!F40)*12)+تنظیمات!G40)))=0,0,IF(تنظیمات!E40=دیتا!$H$3,(((تنظیمات!F40)*12)+تنظیمات!G40)*1,(((تنظیمات!F40)*12)+تنظیمات!G40)))</f>
        <v>0</v>
      </c>
      <c r="N34" s="32" t="str">
        <f t="shared" si="0"/>
        <v/>
      </c>
      <c r="Q34" s="32">
        <f>تنظیمات!J40</f>
        <v>0</v>
      </c>
      <c r="R34" s="32">
        <f>تنظیمات!H40</f>
        <v>0</v>
      </c>
      <c r="S34" s="32" t="str">
        <f>IF(AND(دیتا!Q34=دیتا!$I$2,دیتا!R34=دیتا!$T$2)," ",IF(AND(دیتا!Q34=دیتا!$I$2,دیتا!R34=دیتا!$T$3),"",IF(K34="","",IF(تنظیمات!H40=دیتا!$T$2,44-(N34+O34+P34),44))))</f>
        <v/>
      </c>
    </row>
    <row r="35" spans="1:19" ht="20.100000000000001" customHeight="1">
      <c r="A35" s="32" t="s">
        <v>124</v>
      </c>
      <c r="B35" s="32">
        <v>1402</v>
      </c>
      <c r="C35" s="32" t="s">
        <v>71</v>
      </c>
      <c r="G35" s="9" t="s">
        <v>20</v>
      </c>
      <c r="M35" s="32">
        <f>IF((IF(تنظیمات!E41=دیتا!$H$3,(((تنظیمات!F41)*12)+تنظیمات!G41)*1,(((تنظیمات!F41)*12)+تنظیمات!G41)))=0,0,IF(تنظیمات!E41=دیتا!$H$3,(((تنظیمات!F41)*12)+تنظیمات!G41)*1,(((تنظیمات!F41)*12)+تنظیمات!G41)))</f>
        <v>0</v>
      </c>
      <c r="N35" s="32" t="str">
        <f t="shared" si="0"/>
        <v/>
      </c>
      <c r="Q35" s="32">
        <f>تنظیمات!J41</f>
        <v>0</v>
      </c>
      <c r="R35" s="32">
        <f>تنظیمات!H41</f>
        <v>0</v>
      </c>
      <c r="S35" s="32" t="str">
        <f>IF(AND(دیتا!Q35=دیتا!$I$2,دیتا!R35=دیتا!$T$2)," ",IF(AND(دیتا!Q35=دیتا!$I$2,دیتا!R35=دیتا!$T$3),"",IF(K35="","",IF(تنظیمات!H41=دیتا!$T$2,44-(N35+O35+P35),44))))</f>
        <v/>
      </c>
    </row>
    <row r="36" spans="1:19" ht="20.100000000000001" customHeight="1">
      <c r="A36" s="32" t="s">
        <v>125</v>
      </c>
      <c r="B36" s="32">
        <v>1402</v>
      </c>
      <c r="C36" s="32" t="s">
        <v>113</v>
      </c>
      <c r="G36" s="9" t="s">
        <v>34</v>
      </c>
      <c r="M36" s="32">
        <f>IF((IF(تنظیمات!E42=دیتا!$H$3,(((تنظیمات!F42)*12)+تنظیمات!G42)*1,(((تنظیمات!F42)*12)+تنظیمات!G42)))=0,0,IF(تنظیمات!E42=دیتا!$H$3,(((تنظیمات!F42)*12)+تنظیمات!G42)*1,(((تنظیمات!F42)*12)+تنظیمات!G42)))</f>
        <v>0</v>
      </c>
      <c r="N36" s="32" t="str">
        <f t="shared" si="0"/>
        <v/>
      </c>
      <c r="Q36" s="32">
        <f>تنظیمات!J42</f>
        <v>0</v>
      </c>
      <c r="R36" s="32">
        <f>تنظیمات!H42</f>
        <v>0</v>
      </c>
      <c r="S36" s="32" t="str">
        <f>IF(AND(دیتا!Q36=دیتا!$I$2,دیتا!R36=دیتا!$T$2)," ",IF(AND(دیتا!Q36=دیتا!$I$2,دیتا!R36=دیتا!$T$3),"",IF(K36="","",IF(تنظیمات!H42=دیتا!$T$2,44-(N36+O36+P36),44))))</f>
        <v/>
      </c>
    </row>
    <row r="37" spans="1:19" ht="20.100000000000001" customHeight="1">
      <c r="A37" s="32" t="s">
        <v>94</v>
      </c>
      <c r="B37" s="32">
        <v>1402</v>
      </c>
      <c r="C37" s="32" t="s">
        <v>116</v>
      </c>
      <c r="M37" s="32">
        <f>IF((IF(تنظیمات!E43=دیتا!$H$3,(((تنظیمات!F43)*12)+تنظیمات!G43)*1,(((تنظیمات!F43)*12)+تنظیمات!G43)))=0,0,IF(تنظیمات!E43=دیتا!$H$3,(((تنظیمات!F43)*12)+تنظیمات!G43)*1,(((تنظیمات!F43)*12)+تنظیمات!G43)))</f>
        <v>0</v>
      </c>
      <c r="N37" s="32" t="str">
        <f t="shared" si="0"/>
        <v/>
      </c>
      <c r="Q37" s="32">
        <f>تنظیمات!J43</f>
        <v>0</v>
      </c>
      <c r="R37" s="32">
        <f>تنظیمات!H43</f>
        <v>0</v>
      </c>
      <c r="S37" s="32" t="str">
        <f>IF(AND(دیتا!Q37=دیتا!$I$2,دیتا!R37=دیتا!$T$2)," ",IF(AND(دیتا!Q37=دیتا!$I$2,دیتا!R37=دیتا!$T$3),"",IF(K37="","",IF(تنظیمات!H43=دیتا!$T$2,44-(N37+O37+P37),44))))</f>
        <v/>
      </c>
    </row>
    <row r="38" spans="1:19" ht="20.100000000000001" customHeight="1">
      <c r="A38" s="32" t="s">
        <v>111</v>
      </c>
      <c r="B38" s="32">
        <v>1403</v>
      </c>
      <c r="C38" s="32" t="s">
        <v>119</v>
      </c>
    </row>
    <row r="39" spans="1:19" ht="20.100000000000001" customHeight="1">
      <c r="A39" s="32" t="s">
        <v>112</v>
      </c>
      <c r="B39" s="32">
        <v>1403</v>
      </c>
      <c r="C39" s="32" t="s">
        <v>70</v>
      </c>
    </row>
    <row r="40" spans="1:19" ht="20.100000000000001" customHeight="1">
      <c r="A40" s="32" t="s">
        <v>114</v>
      </c>
      <c r="B40" s="32">
        <v>1403</v>
      </c>
      <c r="C40" s="32" t="s">
        <v>116</v>
      </c>
    </row>
    <row r="41" spans="1:19" ht="20.100000000000001" customHeight="1">
      <c r="A41" s="32" t="s">
        <v>115</v>
      </c>
      <c r="B41" s="32">
        <v>1403</v>
      </c>
      <c r="C41" s="32" t="s">
        <v>71</v>
      </c>
    </row>
    <row r="42" spans="1:19" ht="20.100000000000001" customHeight="1">
      <c r="A42" s="32" t="s">
        <v>118</v>
      </c>
      <c r="B42" s="32">
        <v>1403</v>
      </c>
      <c r="C42" s="32" t="s">
        <v>72</v>
      </c>
    </row>
    <row r="43" spans="1:19" ht="20.100000000000001" customHeight="1">
      <c r="A43" s="32" t="s">
        <v>120</v>
      </c>
      <c r="B43" s="32">
        <v>1403</v>
      </c>
      <c r="C43" s="32" t="s">
        <v>93</v>
      </c>
    </row>
    <row r="44" spans="1:19" ht="20.100000000000001" customHeight="1">
      <c r="A44" s="32" t="s">
        <v>121</v>
      </c>
      <c r="B44" s="32">
        <v>1403</v>
      </c>
      <c r="C44" s="32" t="s">
        <v>113</v>
      </c>
    </row>
    <row r="45" spans="1:19" ht="20.100000000000001" customHeight="1">
      <c r="A45" s="32" t="s">
        <v>122</v>
      </c>
      <c r="B45" s="32">
        <v>1403</v>
      </c>
      <c r="C45" s="32" t="s">
        <v>116</v>
      </c>
    </row>
    <row r="46" spans="1:19" ht="20.100000000000001" customHeight="1">
      <c r="A46" s="32" t="s">
        <v>123</v>
      </c>
      <c r="B46" s="32">
        <v>1403</v>
      </c>
      <c r="C46" s="32" t="s">
        <v>93</v>
      </c>
    </row>
    <row r="47" spans="1:19" ht="20.100000000000001" customHeight="1">
      <c r="A47" s="32" t="s">
        <v>124</v>
      </c>
      <c r="B47" s="32">
        <v>1403</v>
      </c>
      <c r="C47" s="32" t="s">
        <v>70</v>
      </c>
    </row>
    <row r="48" spans="1:19" ht="20.100000000000001" customHeight="1">
      <c r="A48" s="32" t="s">
        <v>125</v>
      </c>
      <c r="B48" s="32">
        <v>1403</v>
      </c>
      <c r="C48" s="32" t="s">
        <v>72</v>
      </c>
    </row>
    <row r="49" spans="1:3" ht="20.100000000000001" customHeight="1">
      <c r="A49" s="32" t="s">
        <v>94</v>
      </c>
      <c r="B49" s="32">
        <v>1403</v>
      </c>
      <c r="C49" s="32" t="s">
        <v>119</v>
      </c>
    </row>
    <row r="50" spans="1:3" ht="20.100000000000001" customHeight="1"/>
    <row r="51" spans="1:3" ht="20.100000000000001" customHeight="1"/>
    <row r="52" spans="1:3" ht="20.100000000000001" customHeight="1"/>
    <row r="53" spans="1:3" ht="20.100000000000001" customHeight="1"/>
    <row r="54" spans="1:3" ht="20.100000000000001" customHeight="1"/>
    <row r="55" spans="1:3" ht="20.100000000000001" customHeight="1"/>
    <row r="56" spans="1:3" ht="20.100000000000001" customHeight="1"/>
    <row r="57" spans="1:3" ht="20.100000000000001" customHeight="1"/>
    <row r="58" spans="1:3" ht="20.100000000000001" customHeight="1"/>
    <row r="59" spans="1:3" ht="20.100000000000001" customHeight="1"/>
    <row r="60" spans="1:3" ht="20.100000000000001" customHeight="1"/>
    <row r="61" spans="1:3" ht="20.100000000000001" customHeight="1"/>
    <row r="62" spans="1:3" ht="20.100000000000001" customHeight="1"/>
    <row r="63" spans="1:3" ht="20.100000000000001" customHeight="1"/>
    <row r="64" spans="1:3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</sheetData>
  <sheetProtection algorithmName="SHA-512" hashValue="jCvzm5nQB4ITBGLwqzYSYNGNR823hhWvbLlmvXKyDxNSgi4CQI/6cHaIQCqN3a0q8xf+0X0QCCEi6FN0TUwnGw==" saltValue="Cha8U74fuc0GIjM8lta0ag==" spinCount="100000" sheet="1" formatCells="0" formatColumns="0" formatRows="0" insertColumns="0" insertRows="0" insertHyperlinks="0" deleteColumns="0" deleteRows="0" sort="0" autoFilter="0" pivotTables="0"/>
  <mergeCells count="3">
    <mergeCell ref="G13:G14"/>
    <mergeCell ref="H13:H14"/>
    <mergeCell ref="I13:I14"/>
  </mergeCells>
  <dataValidations count="1">
    <dataValidation type="list" allowBlank="1" showInputMessage="1" showErrorMessage="1" sqref="C2:C37" xr:uid="{00000000-0002-0000-0500-000000000000}">
      <formula1>$D$2:$D$8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B39"/>
  <sheetViews>
    <sheetView rightToLeft="1" tabSelected="1" topLeftCell="XFD1" workbookViewId="0">
      <selection activeCell="XFD1" sqref="A1:XFD1048576"/>
    </sheetView>
  </sheetViews>
  <sheetFormatPr defaultColWidth="0" defaultRowHeight="14.4"/>
  <cols>
    <col min="1" max="1" width="9" style="2" hidden="1" customWidth="1"/>
    <col min="2" max="2" width="12.88671875" style="2" hidden="1" customWidth="1"/>
    <col min="3" max="16384" width="9" style="2" hidden="1"/>
  </cols>
  <sheetData>
    <row r="1" spans="1:28" ht="17.399999999999999">
      <c r="A1" s="9" t="s">
        <v>21</v>
      </c>
      <c r="B1" s="9" t="s">
        <v>23</v>
      </c>
      <c r="C1" s="2">
        <v>175</v>
      </c>
      <c r="D1" s="12"/>
      <c r="E1" s="14" t="s">
        <v>43</v>
      </c>
      <c r="F1" s="2" t="s">
        <v>58</v>
      </c>
      <c r="G1" s="16" t="s">
        <v>79</v>
      </c>
      <c r="J1" s="15">
        <f t="shared" ref="J1:J16" si="0">MOD(K1-L1,1)</f>
        <v>0.14583333333333326</v>
      </c>
      <c r="K1" s="15">
        <v>0.79166666666666663</v>
      </c>
      <c r="L1" s="15">
        <v>0.64583333333333337</v>
      </c>
      <c r="O1" s="2" t="s">
        <v>87</v>
      </c>
      <c r="P1" s="2" t="s">
        <v>89</v>
      </c>
      <c r="Q1" s="2">
        <v>0</v>
      </c>
      <c r="R1" s="2" t="s">
        <v>61</v>
      </c>
      <c r="S1" s="306" t="s">
        <v>60</v>
      </c>
      <c r="T1" s="306"/>
      <c r="U1" s="306" t="str">
        <f>S1</f>
        <v>قراردادی</v>
      </c>
      <c r="V1" s="306"/>
      <c r="W1" s="306"/>
      <c r="X1" s="2" t="str">
        <f>U1</f>
        <v>قراردادی</v>
      </c>
      <c r="Y1" s="306" t="str">
        <f>X1</f>
        <v>قراردادی</v>
      </c>
      <c r="Z1" s="306"/>
      <c r="AA1" s="306"/>
      <c r="AB1" s="306"/>
    </row>
    <row r="2" spans="1:28" ht="17.399999999999999">
      <c r="A2" s="9" t="s">
        <v>11</v>
      </c>
      <c r="B2" s="9" t="s">
        <v>24</v>
      </c>
      <c r="C2" s="2">
        <v>80</v>
      </c>
      <c r="D2" s="13" t="s">
        <v>40</v>
      </c>
      <c r="E2" s="14" t="s">
        <v>44</v>
      </c>
      <c r="F2" s="2" t="s">
        <v>39</v>
      </c>
      <c r="G2" s="2" t="s">
        <v>78</v>
      </c>
      <c r="J2" s="15">
        <f t="shared" si="0"/>
        <v>0.14583333333333337</v>
      </c>
      <c r="K2" s="15">
        <v>6.25E-2</v>
      </c>
      <c r="L2" s="15">
        <v>0.91666666666666663</v>
      </c>
      <c r="O2" s="2" t="s">
        <v>84</v>
      </c>
      <c r="P2" s="2" t="s">
        <v>90</v>
      </c>
      <c r="Q2" s="2">
        <v>1</v>
      </c>
      <c r="R2" s="2" t="s">
        <v>60</v>
      </c>
    </row>
    <row r="3" spans="1:28" ht="17.399999999999999">
      <c r="A3" s="9" t="s">
        <v>12</v>
      </c>
      <c r="B3" s="9" t="s">
        <v>10</v>
      </c>
      <c r="E3" s="14" t="s">
        <v>45</v>
      </c>
      <c r="F3" s="2" t="s">
        <v>60</v>
      </c>
      <c r="J3" s="15">
        <f t="shared" si="0"/>
        <v>0.5</v>
      </c>
      <c r="K3" s="15">
        <v>0.125</v>
      </c>
      <c r="L3" s="15">
        <v>0.625</v>
      </c>
      <c r="O3" s="2" t="s">
        <v>85</v>
      </c>
      <c r="P3" s="2" t="s">
        <v>91</v>
      </c>
      <c r="Q3" s="2">
        <f>Q2+1</f>
        <v>2</v>
      </c>
      <c r="R3" s="2" t="s">
        <v>39</v>
      </c>
    </row>
    <row r="4" spans="1:28" ht="17.399999999999999">
      <c r="A4" s="9" t="s">
        <v>13</v>
      </c>
      <c r="B4" s="9" t="s">
        <v>25</v>
      </c>
      <c r="E4" s="14" t="s">
        <v>46</v>
      </c>
      <c r="F4" s="2" t="s">
        <v>59</v>
      </c>
      <c r="J4" s="15">
        <f t="shared" si="0"/>
        <v>0.11458333333333337</v>
      </c>
      <c r="K4" s="15">
        <v>5.2083333333333336E-2</v>
      </c>
      <c r="L4" s="15">
        <v>0.9375</v>
      </c>
      <c r="O4" s="2" t="s">
        <v>86</v>
      </c>
      <c r="Q4" s="2">
        <f t="shared" ref="Q4:Q39" si="1">Q3+1</f>
        <v>3</v>
      </c>
    </row>
    <row r="5" spans="1:28" ht="17.399999999999999">
      <c r="A5" s="9" t="s">
        <v>82</v>
      </c>
      <c r="B5" s="9" t="s">
        <v>26</v>
      </c>
      <c r="E5" s="14" t="s">
        <v>47</v>
      </c>
      <c r="F5" s="2" t="s">
        <v>61</v>
      </c>
      <c r="J5" s="15">
        <f t="shared" si="0"/>
        <v>0</v>
      </c>
      <c r="O5" s="2" t="s">
        <v>88</v>
      </c>
      <c r="Q5" s="2">
        <f t="shared" si="1"/>
        <v>4</v>
      </c>
      <c r="V5" s="2" t="str">
        <f>IF(AND(S1=دیتا!A2,V1=دیتا!B2),دیتا!C2,IF(AND(S1=دیتا!A3,V1=دیتا!B3),دیتا!C3,IF(AND(S1=دیتا!A4,V1=دیتا!B4),دیتا!C4,IF(AND(S1=دیتا!A5,V1=دیتا!B5),دیتا!C5,IF(AND(S1=دیتا!A6,V1=دیتا!B6),دیتا!C6,IF(AND(S1=دیتا!A7,V1=دیتا!B7),دیتا!C7,IF(AND(S1=دیتا!A8,V1=دیتا!B8),دیتا!C8,IF(AND(S1=دیتا!A9,V1=دیتا!B9),دیتا!C9,IF(AND(S1=دیتا!A10,V1=دیتا!B10),دیتا!C10,IF(AND(S1=دیتا!A11,V1=دیتا!B11),دیتا!C11,IF(AND(S1=دیتا!A12,V1=دیتا!B12),دیتا!C12,IF(AND(S1=دیتا!A13,V1=دیتا!B13),دیتا!C13,IF(AND(S1=دیتا!A14,V1=دیتا!B14),دیتا!C14,IF(AND(S1=دیتا!A15,V1=دیتا!B15),دیتا!C15,IF(AND(S1=دیتا!A16,V1=دیتا!B16),دیتا!C16,IF(AND(S1=دیتا!A17,V1=دیتا!B17),دیتا!C17,IF(AND(S1=دیتا!A18,V1=دیتا!B18),دیتا!C18,IF(AND(S1=دیتا!A19,V1=دیتا!B19),دیتا!C19,IF(AND(S1=دیتا!A20,V1=دیتا!B20),دیتا!C20,IF(AND(S1=دیتا!A21,V1=دیتا!B21),دیتا!C21,IF(AND(S1=دیتا!A22,V1=دیتا!B22),دیتا!C22,IF(AND(S1=دیتا!A23,V1=دیتا!B23),دیتا!C23,IF(AND(S1=دیتا!A24,V1=دیتا!B24),دیتا!C24,IF(AND(S1=دیتا!A25,V1=دیتا!B25),دیتا!C25,IF(AND(S1=دیتا!A26,V1=دیتا!B26),دیتا!C26,IF(AND(S1=دیتا!A27,V1=دیتا!B27),دیتا!C27,IF(AND(S1=دیتا!A28,V1=دیتا!B28),دیتا!C28,IF(AND(S1=دیتا!A29,V1=دیتا!B29),دیتا!C29,IF(AND(S1=دیتا!A30,V1=دیتا!B30),دیتا!C30,IF(AND(S1=دیتا!A31,V1=دیتا!B31),دیتا!C31,IF(AND(S1=دیتا!A32,V1=دیتا!B32),دیتا!C32,IF(AND(S1=دیتا!A33,V1=دیتا!B33),دیتا!C33,IF(AND(S1=دیتا!A34,V1=دیتا!B34),دیتا!C34,IF(AND(S1=دیتا!A35,V1=دیتا!B35),دیتا!C35,IF(AND(S1=دیتا!A36,V1=دیتا!B36),دیتا!C36,IF(AND(S1=دیتا!A37,V1=دیتا!B37),دیتا!C37,""))))))))))))))))))))))))))))))))))))</f>
        <v/>
      </c>
    </row>
    <row r="6" spans="1:28" ht="17.399999999999999">
      <c r="A6" s="2" t="s">
        <v>83</v>
      </c>
      <c r="B6" s="9" t="s">
        <v>27</v>
      </c>
      <c r="E6" s="14" t="s">
        <v>48</v>
      </c>
      <c r="J6" s="15">
        <f t="shared" si="0"/>
        <v>0</v>
      </c>
      <c r="Q6" s="2">
        <f t="shared" si="1"/>
        <v>5</v>
      </c>
      <c r="V6" s="2" t="s">
        <v>147</v>
      </c>
    </row>
    <row r="7" spans="1:28" ht="17.399999999999999">
      <c r="A7" s="9" t="s">
        <v>14</v>
      </c>
      <c r="B7" s="9" t="s">
        <v>28</v>
      </c>
      <c r="E7" s="14" t="s">
        <v>49</v>
      </c>
      <c r="J7" s="15">
        <f t="shared" si="0"/>
        <v>0</v>
      </c>
      <c r="Q7" s="2">
        <f t="shared" si="1"/>
        <v>6</v>
      </c>
    </row>
    <row r="8" spans="1:28" ht="17.399999999999999">
      <c r="A8" s="9" t="s">
        <v>15</v>
      </c>
      <c r="B8" s="9" t="s">
        <v>29</v>
      </c>
      <c r="E8" s="14" t="s">
        <v>50</v>
      </c>
      <c r="J8" s="15">
        <f t="shared" si="0"/>
        <v>0</v>
      </c>
      <c r="Q8" s="2">
        <f t="shared" si="1"/>
        <v>7</v>
      </c>
    </row>
    <row r="9" spans="1:28" ht="17.399999999999999">
      <c r="A9" s="9" t="s">
        <v>16</v>
      </c>
      <c r="B9" s="9" t="s">
        <v>30</v>
      </c>
      <c r="E9" s="14" t="s">
        <v>51</v>
      </c>
      <c r="J9" s="15">
        <f t="shared" si="0"/>
        <v>0</v>
      </c>
      <c r="Q9" s="2">
        <f t="shared" si="1"/>
        <v>8</v>
      </c>
    </row>
    <row r="10" spans="1:28" ht="17.399999999999999">
      <c r="A10" s="9" t="s">
        <v>17</v>
      </c>
      <c r="B10" s="9" t="s">
        <v>31</v>
      </c>
      <c r="E10" s="14" t="s">
        <v>52</v>
      </c>
      <c r="J10" s="15">
        <f t="shared" si="0"/>
        <v>0</v>
      </c>
      <c r="Q10" s="2">
        <f t="shared" si="1"/>
        <v>9</v>
      </c>
    </row>
    <row r="11" spans="1:28" ht="17.399999999999999">
      <c r="A11" s="9" t="s">
        <v>18</v>
      </c>
      <c r="B11" s="9" t="s">
        <v>32</v>
      </c>
      <c r="E11" s="14" t="s">
        <v>53</v>
      </c>
      <c r="J11" s="15">
        <f t="shared" si="0"/>
        <v>0</v>
      </c>
      <c r="Q11" s="2">
        <f t="shared" si="1"/>
        <v>10</v>
      </c>
    </row>
    <row r="12" spans="1:28" ht="17.399999999999999">
      <c r="A12" s="9" t="s">
        <v>22</v>
      </c>
      <c r="B12" s="9" t="s">
        <v>33</v>
      </c>
      <c r="E12" s="14" t="s">
        <v>54</v>
      </c>
      <c r="J12" s="15">
        <f t="shared" si="0"/>
        <v>0</v>
      </c>
      <c r="Q12" s="2">
        <f t="shared" si="1"/>
        <v>11</v>
      </c>
    </row>
    <row r="13" spans="1:28" ht="17.399999999999999">
      <c r="A13" s="9" t="s">
        <v>19</v>
      </c>
      <c r="E13" s="14" t="s">
        <v>55</v>
      </c>
      <c r="J13" s="15">
        <f t="shared" si="0"/>
        <v>0</v>
      </c>
      <c r="Q13" s="2">
        <f t="shared" si="1"/>
        <v>12</v>
      </c>
    </row>
    <row r="14" spans="1:28">
      <c r="A14" s="9" t="s">
        <v>20</v>
      </c>
      <c r="J14" s="15">
        <f t="shared" si="0"/>
        <v>0</v>
      </c>
      <c r="Q14" s="2">
        <f t="shared" si="1"/>
        <v>13</v>
      </c>
    </row>
    <row r="15" spans="1:28">
      <c r="A15" s="9" t="s">
        <v>34</v>
      </c>
      <c r="J15" s="15">
        <f t="shared" si="0"/>
        <v>0</v>
      </c>
      <c r="Q15" s="2">
        <f t="shared" si="1"/>
        <v>14</v>
      </c>
    </row>
    <row r="16" spans="1:28">
      <c r="J16" s="15">
        <f t="shared" si="0"/>
        <v>0</v>
      </c>
      <c r="Q16" s="2">
        <f t="shared" si="1"/>
        <v>15</v>
      </c>
    </row>
    <row r="17" spans="17:17">
      <c r="Q17" s="2">
        <f t="shared" si="1"/>
        <v>16</v>
      </c>
    </row>
    <row r="18" spans="17:17">
      <c r="Q18" s="2">
        <f t="shared" si="1"/>
        <v>17</v>
      </c>
    </row>
    <row r="19" spans="17:17">
      <c r="Q19" s="2">
        <f t="shared" si="1"/>
        <v>18</v>
      </c>
    </row>
    <row r="20" spans="17:17">
      <c r="Q20" s="2">
        <f t="shared" si="1"/>
        <v>19</v>
      </c>
    </row>
    <row r="21" spans="17:17">
      <c r="Q21" s="2">
        <f t="shared" si="1"/>
        <v>20</v>
      </c>
    </row>
    <row r="22" spans="17:17">
      <c r="Q22" s="2">
        <f t="shared" si="1"/>
        <v>21</v>
      </c>
    </row>
    <row r="23" spans="17:17">
      <c r="Q23" s="2">
        <f t="shared" si="1"/>
        <v>22</v>
      </c>
    </row>
    <row r="24" spans="17:17">
      <c r="Q24" s="2">
        <f t="shared" si="1"/>
        <v>23</v>
      </c>
    </row>
    <row r="25" spans="17:17">
      <c r="Q25" s="2">
        <f t="shared" si="1"/>
        <v>24</v>
      </c>
    </row>
    <row r="26" spans="17:17">
      <c r="Q26" s="2">
        <f t="shared" si="1"/>
        <v>25</v>
      </c>
    </row>
    <row r="27" spans="17:17">
      <c r="Q27" s="2">
        <f t="shared" si="1"/>
        <v>26</v>
      </c>
    </row>
    <row r="28" spans="17:17">
      <c r="Q28" s="2">
        <f t="shared" si="1"/>
        <v>27</v>
      </c>
    </row>
    <row r="29" spans="17:17">
      <c r="Q29" s="2">
        <f t="shared" si="1"/>
        <v>28</v>
      </c>
    </row>
    <row r="30" spans="17:17">
      <c r="Q30" s="2">
        <f t="shared" si="1"/>
        <v>29</v>
      </c>
    </row>
    <row r="31" spans="17:17">
      <c r="Q31" s="2">
        <f t="shared" si="1"/>
        <v>30</v>
      </c>
    </row>
    <row r="32" spans="17:17">
      <c r="Q32" s="2">
        <f t="shared" si="1"/>
        <v>31</v>
      </c>
    </row>
    <row r="33" spans="17:17">
      <c r="Q33" s="2">
        <f t="shared" si="1"/>
        <v>32</v>
      </c>
    </row>
    <row r="34" spans="17:17">
      <c r="Q34" s="2">
        <f t="shared" si="1"/>
        <v>33</v>
      </c>
    </row>
    <row r="35" spans="17:17">
      <c r="Q35" s="2">
        <f t="shared" si="1"/>
        <v>34</v>
      </c>
    </row>
    <row r="36" spans="17:17">
      <c r="Q36" s="2">
        <f t="shared" si="1"/>
        <v>35</v>
      </c>
    </row>
    <row r="37" spans="17:17">
      <c r="Q37" s="2">
        <f t="shared" si="1"/>
        <v>36</v>
      </c>
    </row>
    <row r="38" spans="17:17">
      <c r="Q38" s="2">
        <f>Q37+1</f>
        <v>37</v>
      </c>
    </row>
    <row r="39" spans="17:17">
      <c r="Q39" s="2">
        <f t="shared" si="1"/>
        <v>38</v>
      </c>
    </row>
  </sheetData>
  <sheetProtection algorithmName="SHA-512" hashValue="Ewm/AFriG48BnEWoVSQ6FMoUPQUOWwbYqSAcCGTbDr2ep8twdxTbcfmKvaX0VsVYhPmmBMz6GPA0yFs3KJP/ww==" saltValue="kE8JFApLiiNDZoU37RlFkA==" spinCount="100000" sheet="1" formatCells="0" formatColumns="0" formatRows="0" insertColumns="0" insertRows="0" insertHyperlinks="0" deleteColumns="0" deleteRows="0" sort="0" autoFilter="0" pivotTables="0"/>
  <mergeCells count="3">
    <mergeCell ref="S1:T1"/>
    <mergeCell ref="U1:W1"/>
    <mergeCell ref="Y1:AB1"/>
  </mergeCells>
  <dataValidations count="1">
    <dataValidation type="list" allowBlank="1" showInputMessage="1" showErrorMessage="1" sqref="S1:T1" xr:uid="{00000000-0002-0000-0600-000000000000}">
      <formula1>$R$1:$R$3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تنظیمات</vt:lpstr>
      <vt:lpstr>برنامه فروردین</vt:lpstr>
      <vt:lpstr>برنامه شیفت</vt:lpstr>
      <vt:lpstr>کارکرد </vt:lpstr>
      <vt:lpstr>مبالغ</vt:lpstr>
      <vt:lpstr>دیتا</vt:lpstr>
      <vt:lpstr>دیتا 2</vt:lpstr>
      <vt:lpstr>'برنامه شیفت'!Print_Area</vt:lpstr>
      <vt:lpstr>'برنامه فروردین'!Print_Area</vt:lpstr>
      <vt:lpstr>تنظیمات!Print_Area</vt:lpstr>
      <vt:lpstr>'کارکرد '!Print_Area</vt:lpstr>
      <vt:lpstr>مبالغ!Print_Area</vt:lpstr>
      <vt:lpstr>'برنامه فروردین'!Print_Titles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2024-03-31T08:30:04Z</dcterms:modified>
</cp:coreProperties>
</file>